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CVS!$W$1:$AC$70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INTC!$W$1:$AC$68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35" l="1"/>
  <c r="N29" i="35"/>
  <c r="N48" i="35"/>
  <c r="N16" i="35"/>
  <c r="N51" i="35"/>
  <c r="N15" i="35"/>
  <c r="N40" i="35"/>
  <c r="N5" i="35"/>
  <c r="N11" i="35"/>
  <c r="N31" i="35"/>
  <c r="N18" i="35"/>
  <c r="N44" i="35"/>
  <c r="N20" i="35"/>
  <c r="N35" i="35"/>
  <c r="N25" i="35"/>
  <c r="N28" i="35"/>
  <c r="N36" i="35"/>
  <c r="N49" i="35"/>
  <c r="N46" i="35"/>
  <c r="N19" i="35"/>
  <c r="N14" i="35"/>
  <c r="N56" i="35"/>
  <c r="N53" i="35"/>
  <c r="N9" i="35"/>
  <c r="N38" i="35"/>
  <c r="N33" i="35"/>
  <c r="N24" i="35"/>
  <c r="N47" i="35"/>
  <c r="N30" i="35"/>
  <c r="N41" i="35"/>
  <c r="N52" i="35"/>
  <c r="N42" i="35"/>
  <c r="N4" i="35"/>
  <c r="N45" i="35"/>
  <c r="N17" i="35"/>
  <c r="N22" i="35"/>
  <c r="N32" i="35"/>
  <c r="N3" i="35"/>
  <c r="N13" i="35"/>
  <c r="N57" i="35"/>
  <c r="N6" i="35"/>
  <c r="N2" i="35"/>
  <c r="N8" i="35"/>
  <c r="N39" i="35"/>
  <c r="N10" i="35"/>
  <c r="N21" i="35"/>
  <c r="N43" i="35"/>
  <c r="N7" i="35"/>
  <c r="N55" i="35"/>
  <c r="N54" i="35"/>
  <c r="N37" i="35"/>
  <c r="N34" i="35"/>
  <c r="N27" i="35"/>
  <c r="N12" i="35"/>
  <c r="N50" i="35"/>
  <c r="N23" i="35"/>
  <c r="F29" i="48" l="1"/>
  <c r="G29" i="48"/>
  <c r="H29" i="48"/>
  <c r="K18" i="40" l="1"/>
  <c r="H18" i="40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D342" i="38"/>
  <c r="E342" i="38"/>
  <c r="G342" i="38"/>
  <c r="H342" i="38"/>
  <c r="K342" i="38"/>
  <c r="L342" i="38"/>
  <c r="M342" i="38"/>
  <c r="T342" i="38" s="1"/>
  <c r="N342" i="38"/>
  <c r="R342" i="38"/>
  <c r="M19" i="75"/>
  <c r="K19" i="75"/>
  <c r="C19" i="75"/>
  <c r="F19" i="75"/>
  <c r="H19" i="75"/>
  <c r="M154" i="61"/>
  <c r="K154" i="61"/>
  <c r="H154" i="61"/>
  <c r="F154" i="61"/>
  <c r="C154" i="61"/>
  <c r="Q2" i="75" l="1"/>
  <c r="F153" i="61"/>
  <c r="K153" i="61"/>
  <c r="M135" i="61" s="1"/>
  <c r="Q8" i="75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F2" i="73"/>
  <c r="D341" i="38"/>
  <c r="E341" i="38"/>
  <c r="G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C480" i="17"/>
  <c r="F103" i="50"/>
  <c r="C103" i="50"/>
  <c r="H480" i="17"/>
  <c r="H103" i="50"/>
  <c r="M65" i="71"/>
  <c r="C65" i="71"/>
  <c r="K65" i="71"/>
  <c r="M103" i="50"/>
  <c r="M480" i="17"/>
  <c r="H65" i="71"/>
  <c r="F480" i="17"/>
  <c r="F65" i="71"/>
  <c r="K480" i="17"/>
  <c r="K102" i="50" l="1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G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Q8" i="74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3" i="74" l="1"/>
  <c r="Q6" i="74" s="1"/>
  <c r="Q9" i="74" s="1"/>
  <c r="N335" i="38"/>
  <c r="Q7" i="74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N334" i="38" l="1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C90" i="72"/>
  <c r="F90" i="72"/>
  <c r="K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F2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F19" i="73"/>
  <c r="H19" i="73"/>
  <c r="K19" i="73"/>
  <c r="C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F132" i="61"/>
  <c r="C111" i="54"/>
  <c r="C132" i="61"/>
  <c r="K132" i="61"/>
  <c r="M132" i="61"/>
  <c r="H111" i="54"/>
  <c r="H132" i="61"/>
  <c r="F111" i="54"/>
  <c r="M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C19" i="72"/>
  <c r="K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K85" i="64"/>
  <c r="H72" i="70"/>
  <c r="C100" i="34"/>
  <c r="M100" i="34"/>
  <c r="C28" i="17"/>
  <c r="C85" i="64"/>
  <c r="H28" i="17"/>
  <c r="F72" i="70"/>
  <c r="F85" i="64"/>
  <c r="F100" i="34"/>
  <c r="M72" i="70"/>
  <c r="K72" i="70"/>
  <c r="H100" i="34"/>
  <c r="M85" i="64"/>
  <c r="H19" i="64"/>
  <c r="H85" i="64"/>
  <c r="K100" i="34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K63" i="66"/>
  <c r="M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9" i="70"/>
  <c r="C19" i="70"/>
  <c r="M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2"/>
  <c r="F19" i="63"/>
  <c r="C72" i="59"/>
  <c r="C19" i="64"/>
  <c r="C103" i="58"/>
  <c r="K80" i="41"/>
  <c r="M19" i="41"/>
  <c r="C19" i="34"/>
  <c r="H125" i="45"/>
  <c r="K19" i="41"/>
  <c r="C19" i="59"/>
  <c r="M19" i="66"/>
  <c r="F19" i="62"/>
  <c r="H19" i="57"/>
  <c r="H30" i="49"/>
  <c r="M19" i="63"/>
  <c r="M80" i="41"/>
  <c r="M19" i="60"/>
  <c r="F19" i="53"/>
  <c r="M19" i="54"/>
  <c r="F29" i="51"/>
  <c r="C19" i="68"/>
  <c r="F80" i="41"/>
  <c r="F19" i="54"/>
  <c r="M19" i="52"/>
  <c r="C108" i="7"/>
  <c r="K125" i="45"/>
  <c r="M103" i="58"/>
  <c r="F72" i="59"/>
  <c r="M86" i="53"/>
  <c r="F19" i="68"/>
  <c r="M19" i="59"/>
  <c r="M101" i="57"/>
  <c r="C19" i="50"/>
  <c r="C30" i="49"/>
  <c r="C19" i="54"/>
  <c r="M82" i="50"/>
  <c r="K86" i="53"/>
  <c r="C82" i="50"/>
  <c r="H101" i="57"/>
  <c r="M67" i="60"/>
  <c r="K67" i="60"/>
  <c r="H19" i="69"/>
  <c r="K103" i="58"/>
  <c r="H19" i="63"/>
  <c r="H103" i="58"/>
  <c r="K19" i="54"/>
  <c r="C65" i="63"/>
  <c r="C19" i="63"/>
  <c r="F19" i="59"/>
  <c r="F65" i="63"/>
  <c r="C19" i="62"/>
  <c r="M72" i="59"/>
  <c r="C19" i="52"/>
  <c r="M94" i="52"/>
  <c r="K19" i="64"/>
  <c r="H72" i="59"/>
  <c r="C19" i="45"/>
  <c r="F19" i="69"/>
  <c r="K28" i="17"/>
  <c r="H19" i="60"/>
  <c r="H19" i="52"/>
  <c r="F19" i="52"/>
  <c r="C29" i="51"/>
  <c r="F125" i="45"/>
  <c r="M65" i="63"/>
  <c r="F19" i="58"/>
  <c r="M19" i="55"/>
  <c r="F86" i="53"/>
  <c r="K248" i="25"/>
  <c r="K72" i="59"/>
  <c r="K19" i="59"/>
  <c r="C101" i="57"/>
  <c r="F32" i="31"/>
  <c r="C19" i="69"/>
  <c r="H19" i="55"/>
  <c r="C248" i="25"/>
  <c r="H19" i="45"/>
  <c r="K19" i="66"/>
  <c r="F19" i="57"/>
  <c r="C19" i="41"/>
  <c r="C67" i="60"/>
  <c r="F19" i="50"/>
  <c r="F19" i="60"/>
  <c r="F30" i="49"/>
  <c r="H29" i="51"/>
  <c r="F19" i="45"/>
  <c r="C80" i="41"/>
  <c r="K19" i="52"/>
  <c r="K19" i="60"/>
  <c r="M19" i="62"/>
  <c r="K19" i="45"/>
  <c r="K19" i="68"/>
  <c r="K65" i="63"/>
  <c r="H82" i="50"/>
  <c r="K19" i="63"/>
  <c r="F82" i="50"/>
  <c r="F28" i="17"/>
  <c r="K94" i="52"/>
  <c r="C32" i="31"/>
  <c r="K19" i="55"/>
  <c r="H94" i="52"/>
  <c r="M32" i="31"/>
  <c r="M30" i="49"/>
  <c r="F19" i="61"/>
  <c r="C19" i="55"/>
  <c r="H19" i="68"/>
  <c r="M19" i="34"/>
  <c r="K30" i="49"/>
  <c r="F19" i="55"/>
  <c r="H80" i="41"/>
  <c r="H19" i="66"/>
  <c r="C19" i="61"/>
  <c r="F248" i="25"/>
  <c r="H19" i="53"/>
  <c r="H19" i="58"/>
  <c r="M125" i="45"/>
  <c r="F19" i="40"/>
  <c r="F94" i="52"/>
  <c r="M28" i="17"/>
  <c r="H67" i="60"/>
  <c r="H19" i="34"/>
  <c r="C125" i="45"/>
  <c r="H19" i="54"/>
  <c r="F19" i="41"/>
  <c r="F101" i="57"/>
  <c r="H19" i="50"/>
  <c r="H19" i="41"/>
  <c r="C19" i="57"/>
  <c r="F19" i="64"/>
  <c r="F103" i="58"/>
  <c r="K19" i="53"/>
  <c r="M19" i="64"/>
  <c r="F67" i="60"/>
  <c r="K19" i="34"/>
  <c r="F108" i="7"/>
  <c r="C19" i="53"/>
  <c r="C94" i="52"/>
  <c r="M19" i="68"/>
  <c r="M19" i="50"/>
  <c r="M108" i="7"/>
  <c r="K82" i="50"/>
  <c r="K19" i="50"/>
  <c r="K19" i="58"/>
  <c r="K19" i="69"/>
  <c r="C19" i="58"/>
  <c r="H86" i="53"/>
  <c r="H248" i="25"/>
  <c r="M19" i="61"/>
  <c r="H19" i="59"/>
  <c r="M19" i="58"/>
  <c r="C19" i="60"/>
  <c r="M19" i="53"/>
  <c r="K19" i="57"/>
  <c r="M29" i="51"/>
  <c r="C19" i="66"/>
  <c r="K101" i="57"/>
  <c r="C86" i="53"/>
  <c r="M19" i="57"/>
  <c r="H19" i="62"/>
  <c r="K29" i="51"/>
  <c r="F19" i="66"/>
  <c r="F19" i="34"/>
  <c r="M248" i="25"/>
  <c r="H65" i="63"/>
  <c r="M19" i="69"/>
  <c r="K19" i="61"/>
  <c r="H19" i="61"/>
  <c r="K32" i="31"/>
  <c r="H32" i="31"/>
  <c r="K108" i="7"/>
  <c r="H108" i="7"/>
  <c r="H19" i="3"/>
  <c r="F19" i="3"/>
  <c r="C19" i="3"/>
  <c r="M19" i="3"/>
  <c r="K19" i="3"/>
  <c r="U342" i="38" l="1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2" i="38" l="1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<sst xmlns="http://schemas.openxmlformats.org/spreadsheetml/2006/main" count="5332" uniqueCount="659">
  <si>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</si>
  <si>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</si>
  <si>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</si>
  <si>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</si>
  <si>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</si>
  <si>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</si>
  <si>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</si>
  <si>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</si>
  <si>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</si>
  <si>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</si>
  <si>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</si>
  <si>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</si>
  <si>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</si>
  <si>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</si>
  <si>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</si>
  <si>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</si>
  <si>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</si>
  <si>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</si>
  <si>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</si>
  <si>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</si>
  <si>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</si>
  <si>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</si>
  <si>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</si>
  <si>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</si>
  <si>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</si>
  <si>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</si>
  <si>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</si>
  <si>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</si>
  <si>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</si>
  <si>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</si>
  <si>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</si>
  <si>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</si>
  <si>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</si>
  <si>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</si>
  <si>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</si>
  <si>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</si>
  <si>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</si>
  <si>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</si>
  <si>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</si>
  <si>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</si>
  <si>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</si>
  <si>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</si>
  <si>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</si>
  <si>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</si>
  <si>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</si>
  <si>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</si>
  <si>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</si>
  <si>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</si>
  <si>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</si>
  <si>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</si>
  <si>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</si>
  <si>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</si>
  <si>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</si>
  <si>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</si>
  <si>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</si>
  <si>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</si>
  <si>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</si>
  <si>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</si>
  <si>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</si>
  <si>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</si>
  <si>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</si>
  <si>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</si>
  <si>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</si>
  <si>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</si>
  <si>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</si>
  <si>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</si>
  <si>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</si>
  <si>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</si>
  <si>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</si>
  <si>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</si>
  <si>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</si>
  <si>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</si>
  <si>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</si>
  <si>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</si>
  <si>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</si>
  <si>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</si>
  <si>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</si>
  <si>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</si>
  <si>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</si>
  <si>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</si>
  <si>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</si>
  <si>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</si>
  <si>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</si>
  <si>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</si>
  <si>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</si>
  <si>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</si>
  <si>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</si>
  <si>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</si>
  <si>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</si>
  <si>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</si>
  <si>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</si>
  <si>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</si>
  <si>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</si>
  <si>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</si>
  <si>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</si>
  <si>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</si>
  <si>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</si>
  <si>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</si>
  <si>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</si>
  <si>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</si>
  <si>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</si>
  <si>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</si>
  <si>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</si>
  <si>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</si>
  <si>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</si>
  <si>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</si>
  <si>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</si>
  <si>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</si>
  <si>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</si>
  <si>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</si>
  <si>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</si>
  <si>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</si>
  <si>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</si>
  <si>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</si>
  <si>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</si>
  <si>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</si>
  <si>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</si>
  <si>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</si>
  <si>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</si>
  <si>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</si>
  <si>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</si>
  <si>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</si>
  <si>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</si>
  <si>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</si>
  <si>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</si>
  <si>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</si>
  <si>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</si>
  <si>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</si>
  <si>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</si>
  <si>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</si>
  <si>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</si>
  <si>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</si>
  <si>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</si>
  <si>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</si>
  <si>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</si>
  <si>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</si>
  <si>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</si>
  <si>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</si>
  <si>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</si>
  <si>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</si>
  <si>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</si>
  <si>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</si>
  <si>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</si>
  <si>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</si>
  <si>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</si>
  <si>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</si>
  <si>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</si>
  <si>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</si>
  <si>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</si>
  <si>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</si>
  <si>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</si>
  <si>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</si>
  <si>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</si>
  <si>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</si>
  <si>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</si>
  <si>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</si>
  <si>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</si>
  <si>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</si>
  <si>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</si>
  <si>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</si>
  <si>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</si>
  <si>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</si>
  <si>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</si>
  <si>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</si>
  <si>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</si>
  <si>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</si>
  <si>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</si>
  <si>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</si>
  <si>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</si>
  <si>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</si>
  <si>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</si>
  <si>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</si>
  <si>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</si>
  <si>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</si>
  <si>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</si>
  <si>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</si>
  <si>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</si>
  <si>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</si>
  <si>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</si>
  <si>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</si>
  <si>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</si>
  <si>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</si>
  <si>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</si>
  <si>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</si>
  <si>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</si>
  <si>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</si>
  <si>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</si>
  <si>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</si>
  <si>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</si>
  <si>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</si>
  <si>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</si>
  <si>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</si>
  <si>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</si>
  <si>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</si>
  <si>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</si>
  <si>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</si>
  <si>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</si>
  <si>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</si>
  <si>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</si>
  <si>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</si>
  <si>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</si>
  <si>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</si>
  <si>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</si>
  <si>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</si>
  <si>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</si>
  <si>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</si>
  <si>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</si>
  <si>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</si>
  <si>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</si>
  <si>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</si>
  <si>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</si>
  <si>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</si>
  <si>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</si>
  <si>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</si>
  <si>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</si>
  <si>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</si>
  <si>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</si>
  <si>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</si>
  <si>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</si>
  <si>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</si>
  <si>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</si>
  <si>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</si>
  <si>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</si>
  <si>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</si>
  <si>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</si>
  <si>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</si>
  <si>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</si>
  <si>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</si>
  <si>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</si>
  <si>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</si>
  <si>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</si>
  <si>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</si>
  <si>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</si>
  <si>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</si>
  <si>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</si>
  <si>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</si>
  <si>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</si>
  <si>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</si>
  <si>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</si>
  <si>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</si>
  <si>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</si>
  <si>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</si>
  <si>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</si>
  <si>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</si>
  <si>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</si>
  <si>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</si>
  <si>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</si>
  <si>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</si>
  <si>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</si>
  <si>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</si>
  <si>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</si>
  <si>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</si>
  <si>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</si>
  <si>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</si>
  <si>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</si>
  <si>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</si>
  <si>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</si>
  <si>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</si>
  <si>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</si>
  <si>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</si>
  <si>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</si>
  <si>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</si>
  <si>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</si>
  <si>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</si>
  <si>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</si>
  <si>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</si>
  <si>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</si>
  <si>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</si>
  <si>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</si>
  <si>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</si>
  <si>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</si>
  <si>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</si>
  <si>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</si>
  <si>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</si>
  <si>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</si>
  <si>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</si>
  <si>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</si>
  <si>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</si>
  <si>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</si>
  <si>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</si>
  <si>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</si>
  <si>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</si>
  <si>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</si>
  <si>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</si>
  <si>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</si>
  <si>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</si>
  <si>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</si>
  <si>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</si>
  <si>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</si>
  <si>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</si>
  <si>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</si>
  <si>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</si>
  <si>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</si>
  <si>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</si>
  <si>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</si>
  <si>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</si>
  <si>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</si>
  <si>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</si>
  <si>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</si>
  <si>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</si>
  <si>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</si>
  <si>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</si>
  <si>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</si>
  <si>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</si>
  <si>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</si>
  <si>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</si>
  <si>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</si>
  <si>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</si>
  <si>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</si>
  <si>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</si>
  <si>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</si>
  <si>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</si>
  <si>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</si>
  <si>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</si>
  <si>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</si>
  <si>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</si>
  <si>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</si>
  <si>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</si>
  <si>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</si>
  <si>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</si>
  <si>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</si>
  <si>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</si>
  <si>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</si>
  <si>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</si>
  <si>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</si>
  <si>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</si>
  <si>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</si>
  <si>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</si>
  <si>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0.425 Dividend</t>
  </si>
  <si>
    <t>4.00 --&gt; 3.90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</si>
  <si>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</si>
  <si>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</si>
  <si>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</si>
  <si>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</si>
  <si>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</si>
  <si>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</si>
  <si>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</si>
  <si>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</si>
  <si>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</si>
  <si>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</si>
  <si>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</si>
  <si>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</si>
  <si>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</si>
  <si>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21 - Feb 27 (Est.)</t>
  </si>
  <si>
    <t>Feb 8 - Feb 13 (Est.)</t>
  </si>
  <si>
    <t>Feb 6 - Feb 10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</si>
  <si>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</si>
  <si>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</si>
  <si>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</si>
  <si>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</si>
  <si>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</si>
  <si>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</si>
  <si>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</si>
  <si>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</si>
  <si>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</si>
  <si>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</si>
  <si>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</si>
  <si>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</si>
  <si>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</si>
  <si>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</si>
  <si>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</si>
  <si>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</si>
  <si>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</si>
  <si>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</si>
  <si>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</si>
  <si>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</si>
  <si>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</si>
  <si>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</si>
  <si>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</si>
  <si>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</si>
  <si>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</si>
  <si>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</si>
  <si>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</si>
  <si>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</si>
  <si>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</si>
  <si>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</si>
  <si>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</si>
  <si>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</si>
  <si>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</si>
  <si>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</si>
  <si>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</si>
  <si>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</si>
  <si>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</si>
  <si>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</si>
  <si>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</si>
  <si>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</si>
  <si>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</si>
  <si>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</si>
  <si>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</si>
  <si>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</si>
  <si>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</si>
  <si>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</si>
  <si>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</si>
  <si>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</si>
  <si>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</si>
  <si>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</si>
  <si>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</si>
  <si>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</si>
  <si>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</si>
  <si>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</si>
  <si>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</si>
  <si>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</si>
  <si>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</si>
  <si>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</si>
  <si>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</si>
  <si>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</si>
  <si>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</si>
  <si>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</si>
  <si>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</si>
  <si>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</si>
  <si>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</si>
  <si>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</si>
  <si>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</si>
  <si>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</si>
  <si>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</si>
  <si>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</si>
  <si>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</si>
  <si>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25-Jan-17UTX Earnings announcement</t>
  </si>
  <si>
    <t>50.27 - 78.00</t>
  </si>
  <si>
    <t>28.27 - 35.11</t>
  </si>
  <si>
    <t>25-Jan-17HES Earnings announcement</t>
  </si>
  <si>
    <t>23-Jan-17WWD Earnings announcement</t>
  </si>
  <si>
    <t>7-Feb-17GM Earnings announcement</t>
  </si>
  <si>
    <t>26.69 - 38.16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</si>
  <si>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</si>
  <si>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</si>
  <si>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</si>
  <si>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</si>
  <si>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</si>
  <si>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</si>
  <si>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</si>
  <si>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</si>
  <si>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</si>
  <si>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</si>
  <si>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</si>
  <si>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22.02 - 31.78</t>
  </si>
  <si>
    <t>13-Apr-17WFC Earnings announcement</t>
  </si>
  <si>
    <t>108.83 - 164.00</t>
  </si>
  <si>
    <t>7-Feb-17MOS Earnings announcement</t>
  </si>
  <si>
    <t>5.62B</t>
  </si>
  <si>
    <t>2.28 (1.90%)</t>
  </si>
  <si>
    <t>34.53 x 200</t>
  </si>
  <si>
    <t>0.20 Dividend</t>
  </si>
  <si>
    <t>75.24 - 121.75</t>
  </si>
  <si>
    <t>9.35 - 23.64</t>
  </si>
  <si>
    <t>34.02 - 65.56</t>
  </si>
  <si>
    <t>64.51 - 116.00</t>
  </si>
  <si>
    <t>181.09 - 228.34</t>
  </si>
  <si>
    <t>2.28B</t>
  </si>
  <si>
    <t>7-Feb-17KORS Earnings announcement</t>
  </si>
  <si>
    <t>7-Feb-17DIS Earnings announcement</t>
  </si>
  <si>
    <t>1.88 (2.61%)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</si>
  <si>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</si>
  <si>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</si>
  <si>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</si>
  <si>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</si>
  <si>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</si>
  <si>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</si>
  <si>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</si>
  <si>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</si>
  <si>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</si>
  <si>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</si>
  <si>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</si>
  <si>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</si>
  <si>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</si>
  <si>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</si>
  <si>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280.15 x 100</t>
  </si>
  <si>
    <t>303.00 x 100</t>
  </si>
  <si>
    <t>279.41 - 282.56</t>
  </si>
  <si>
    <t>36.03 x 100</t>
  </si>
  <si>
    <t>37.07 x 100</t>
  </si>
  <si>
    <t>36.80 - 37.35</t>
  </si>
  <si>
    <t>19.84B</t>
  </si>
  <si>
    <t>80.28 - 81.95</t>
  </si>
  <si>
    <t>120.02 x 400</t>
  </si>
  <si>
    <t>120.06 x 200</t>
  </si>
  <si>
    <t>119.73 - 120.45</t>
  </si>
  <si>
    <t>89.47 - 120.50</t>
  </si>
  <si>
    <t>Apr 18 - Apr 24 (Est.)</t>
  </si>
  <si>
    <t>75.39 - 76.91</t>
  </si>
  <si>
    <t>69.74B</t>
  </si>
  <si>
    <t>69.87 - 71.46</t>
  </si>
  <si>
    <t>19.61B</t>
  </si>
  <si>
    <t>24.15 x 100</t>
  </si>
  <si>
    <t>32.29 - 32.56</t>
  </si>
  <si>
    <t>4.63B</t>
  </si>
  <si>
    <t>29.96 x 300</t>
  </si>
  <si>
    <t>31.50 x 400</t>
  </si>
  <si>
    <t>29.84 - 30.13</t>
  </si>
  <si>
    <t>50.14 - 51.17</t>
  </si>
  <si>
    <t>31.45B</t>
  </si>
  <si>
    <t>33.69 - 34.11</t>
  </si>
  <si>
    <t>48.92 - 50.69</t>
  </si>
  <si>
    <t>48.92 - 77.12</t>
  </si>
  <si>
    <t>82.27B</t>
  </si>
  <si>
    <t>1.56 (2.78%)</t>
  </si>
  <si>
    <t>49.90 x 100</t>
  </si>
  <si>
    <t>74.50 x 100</t>
  </si>
  <si>
    <t>68.85 - 69.60</t>
  </si>
  <si>
    <t>11.98B</t>
  </si>
  <si>
    <t>81.31 - 83.43</t>
  </si>
  <si>
    <t>86.98B</t>
  </si>
  <si>
    <t>2.00 (2.39%)</t>
  </si>
  <si>
    <t>0.50 Dividend</t>
  </si>
  <si>
    <t>17.42 - 17.75</t>
  </si>
  <si>
    <t>14.92B</t>
  </si>
  <si>
    <t>34.02 - 34.60</t>
  </si>
  <si>
    <t>31.98B</t>
  </si>
  <si>
    <t>12.31 - 12.48</t>
  </si>
  <si>
    <t>49.12B</t>
  </si>
  <si>
    <t>114.08 - 115.03</t>
  </si>
  <si>
    <t>96.04 - 126.07</t>
  </si>
  <si>
    <t>310.55B</t>
  </si>
  <si>
    <t>12.00 - 12.43</t>
  </si>
  <si>
    <t>4.33B</t>
  </si>
  <si>
    <t>95.02 - 96.93</t>
  </si>
  <si>
    <t>20.42B</t>
  </si>
  <si>
    <t>52.90 - 53.35</t>
  </si>
  <si>
    <t>88.02B</t>
  </si>
  <si>
    <t>0.72 (1.35%)</t>
  </si>
  <si>
    <t>30.65 - 31.57</t>
  </si>
  <si>
    <t>10.96B</t>
  </si>
  <si>
    <t>1.10 (3.59%)</t>
  </si>
  <si>
    <t>48.83 - 49.03</t>
  </si>
  <si>
    <t>21.92 x 4600</t>
  </si>
  <si>
    <t>21.96 x 400</t>
  </si>
  <si>
    <t>21.89 - 22.33</t>
  </si>
  <si>
    <t>53.13 - 53.96</t>
  </si>
  <si>
    <t>22.08B</t>
  </si>
  <si>
    <t>36.86 x 200</t>
  </si>
  <si>
    <t>36.95 x 300</t>
  </si>
  <si>
    <t>36.58 - 37.03</t>
  </si>
  <si>
    <t>175.06B</t>
  </si>
  <si>
    <t>57.54 - 59.08</t>
  </si>
  <si>
    <t>18.19B</t>
  </si>
  <si>
    <t>1.00 (1.70%)</t>
  </si>
  <si>
    <t>111.75 - 113.80</t>
  </si>
  <si>
    <t>33.16B</t>
  </si>
  <si>
    <t>35.51 x 500</t>
  </si>
  <si>
    <t>46.50 x 100</t>
  </si>
  <si>
    <t>45.41 - 46.41</t>
  </si>
  <si>
    <t>10.37B</t>
  </si>
  <si>
    <t>225.97 - 227.31</t>
  </si>
  <si>
    <t>88.42 x 200</t>
  </si>
  <si>
    <t>88.80 x 200</t>
  </si>
  <si>
    <t>84.69 - 88.90</t>
  </si>
  <si>
    <t>54.50 - 88.90</t>
  </si>
  <si>
    <t>16.48B</t>
  </si>
  <si>
    <t>68.89 - 70.19</t>
  </si>
  <si>
    <t>48.89 - 71.57</t>
  </si>
  <si>
    <t>54.62 - 55.11</t>
  </si>
  <si>
    <t>1.52 (2.80%)</t>
  </si>
  <si>
    <t>34.93 - 35.74</t>
  </si>
  <si>
    <t>20.00 - 35.74</t>
  </si>
  <si>
    <t>6.52B</t>
  </si>
  <si>
    <t>17.67 - 18.03</t>
  </si>
  <si>
    <t>33.04 - 34.34</t>
  </si>
  <si>
    <t>7.97B</t>
  </si>
  <si>
    <t>0.30 Dividend</t>
  </si>
  <si>
    <t>6-Feb-17NWL Earnings announcement</t>
  </si>
  <si>
    <t>45.88 - 46.72</t>
  </si>
  <si>
    <t>22.23B</t>
  </si>
  <si>
    <t>41.65 - 42.61</t>
  </si>
  <si>
    <t>36.57 - 59.49</t>
  </si>
  <si>
    <t>6.97B</t>
  </si>
  <si>
    <t>74.37 - 74.96</t>
  </si>
  <si>
    <t>57.62 - 74.96</t>
  </si>
  <si>
    <t>27.45B</t>
  </si>
  <si>
    <t>1.32 (1.77%)</t>
  </si>
  <si>
    <t>190.70 x 200</t>
  </si>
  <si>
    <t>191.38 x 100</t>
  </si>
  <si>
    <t>188.10 - 191.54</t>
  </si>
  <si>
    <t>114.25 - 191.54</t>
  </si>
  <si>
    <t>80.59B</t>
  </si>
  <si>
    <t>74.93 - 75.78</t>
  </si>
  <si>
    <t>24.01B</t>
  </si>
  <si>
    <t>49.71 - 50.54</t>
  </si>
  <si>
    <t>37.06B</t>
  </si>
  <si>
    <t>33.16 - 33.57</t>
  </si>
  <si>
    <t>33.16 - 64.31</t>
  </si>
  <si>
    <t>33.73B</t>
  </si>
  <si>
    <t>107.18 - 107.82</t>
  </si>
  <si>
    <t>3.45 x 1000</t>
  </si>
  <si>
    <t>3.49 x 2000</t>
  </si>
  <si>
    <t>3.41 - 3.53</t>
  </si>
  <si>
    <t>4.09B</t>
  </si>
  <si>
    <t>70.99 x 5500</t>
  </si>
  <si>
    <t>71.11 x 1000</t>
  </si>
  <si>
    <t>70.58 - 72.00</t>
  </si>
  <si>
    <t>70.58 - 103.10</t>
  </si>
  <si>
    <t>93.55B</t>
  </si>
  <si>
    <t>67.20 - 67.99</t>
  </si>
  <si>
    <t>4.17B</t>
  </si>
  <si>
    <t>0.44 (0.64%)</t>
  </si>
  <si>
    <t>61.92 - 62.72</t>
  </si>
  <si>
    <t>54.64 - 72.95</t>
  </si>
  <si>
    <t>36.20B</t>
  </si>
  <si>
    <t>36.76 - 37.42</t>
  </si>
  <si>
    <t>55.96B</t>
  </si>
  <si>
    <t>143.32 - 145.14</t>
  </si>
  <si>
    <t>56.69B</t>
  </si>
  <si>
    <t>42.72 - 43.65</t>
  </si>
  <si>
    <t>23.57 - 44.55</t>
  </si>
  <si>
    <t>3.34B</t>
  </si>
  <si>
    <t>110.03 - 111.10</t>
  </si>
  <si>
    <t>91.23B</t>
  </si>
  <si>
    <t>157.81 - 159.80</t>
  </si>
  <si>
    <t>151.02B</t>
  </si>
  <si>
    <t>2.50 (1.58%)</t>
  </si>
  <si>
    <t>74.09 - 75.48</t>
  </si>
  <si>
    <t>23.87B</t>
  </si>
  <si>
    <t>28-Feb-17TGT Earnings announcement</t>
  </si>
  <si>
    <t>63.78 - 65.41</t>
  </si>
  <si>
    <t>63.78 - 84.14</t>
  </si>
  <si>
    <t>36.00B</t>
  </si>
  <si>
    <t>2.40 (3.59%)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</si>
  <si>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</si>
  <si>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</si>
  <si>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</si>
  <si>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</si>
  <si>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</si>
  <si>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</si>
  <si>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</si>
  <si>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</si>
  <si>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60.60B</t>
  </si>
  <si>
    <t>1.04 (1.29%)</t>
  </si>
  <si>
    <t>630.94B</t>
  </si>
  <si>
    <t>1.28 (1.68%)</t>
  </si>
  <si>
    <t>1.00 (1.41%)</t>
  </si>
  <si>
    <t>55.16B</t>
  </si>
  <si>
    <t>0.36 (1.20%)</t>
  </si>
  <si>
    <t>0.40 (0.78%)</t>
  </si>
  <si>
    <t>16.87B</t>
  </si>
  <si>
    <t>0.20 (1.14%)</t>
  </si>
  <si>
    <t>0.48 (1.41%)</t>
  </si>
  <si>
    <t>0.60 (4.85%)</t>
  </si>
  <si>
    <t>3.20 (2.80%)</t>
  </si>
  <si>
    <t>24.21B</t>
  </si>
  <si>
    <t>1.85 (3.45%)</t>
  </si>
  <si>
    <t>1.04 (2.82%)</t>
  </si>
  <si>
    <t>2.36 (2.08%)</t>
  </si>
  <si>
    <t>1.12 (1.26%)</t>
  </si>
  <si>
    <t>53.85B</t>
  </si>
  <si>
    <t>276.23B</t>
  </si>
  <si>
    <t>1.20 (3.51%)</t>
  </si>
  <si>
    <t>0.76 (1.65%)</t>
  </si>
  <si>
    <t>4.08 (2.14%)</t>
  </si>
  <si>
    <t>1.80 (2.39%)</t>
  </si>
  <si>
    <t>0.81 (1.60%)</t>
  </si>
  <si>
    <t>1.36 (4.09%)</t>
  </si>
  <si>
    <t>170.52B</t>
  </si>
  <si>
    <t>1.56 (1.45%)</t>
  </si>
  <si>
    <t>0.42 (12.03%)</t>
  </si>
  <si>
    <t>1.92 (3.08%)</t>
  </si>
  <si>
    <t>1.52 (4.11%)</t>
  </si>
  <si>
    <t>0.60 (0.42%)</t>
  </si>
  <si>
    <t>1.04 (2.42%)</t>
  </si>
  <si>
    <t>2.64 (2.38%)</t>
  </si>
  <si>
    <t>0.625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</si>
</sst>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73"/>
      <tableStyleElement type="headerRow" dxfId="107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58752"/>
        <c:axId val="507657968"/>
      </c:scatterChart>
      <c:valAx>
        <c:axId val="5076587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57968"/>
        <c:crosses val="autoZero"/>
        <c:crossBetween val="midCat"/>
      </c:valAx>
      <c:valAx>
        <c:axId val="5076579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5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59536"/>
        <c:axId val="507659928"/>
      </c:scatterChart>
      <c:valAx>
        <c:axId val="507659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59928"/>
        <c:crosses val="autoZero"/>
        <c:crossBetween val="midCat"/>
      </c:valAx>
      <c:valAx>
        <c:axId val="5076599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5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60712"/>
        <c:axId val="507661104"/>
      </c:scatterChart>
      <c:valAx>
        <c:axId val="5076607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1104"/>
        <c:crosses val="autoZero"/>
        <c:crossBetween val="midCat"/>
      </c:valAx>
      <c:valAx>
        <c:axId val="507661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63456"/>
        <c:axId val="507663848"/>
      </c:scatterChart>
      <c:valAx>
        <c:axId val="5076634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3848"/>
        <c:crosses val="autoZero"/>
        <c:crossBetween val="midCat"/>
      </c:valAx>
      <c:valAx>
        <c:axId val="5076638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63064"/>
        <c:axId val="507662672"/>
      </c:scatterChart>
      <c:valAx>
        <c:axId val="5076630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2672"/>
        <c:crosses val="autoZero"/>
        <c:crossBetween val="midCat"/>
      </c:valAx>
      <c:valAx>
        <c:axId val="5076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61888"/>
        <c:axId val="613550696"/>
      </c:scatterChart>
      <c:valAx>
        <c:axId val="5076618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0696"/>
        <c:crosses val="autoZero"/>
        <c:crossBetween val="midCat"/>
      </c:valAx>
      <c:valAx>
        <c:axId val="6135506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51480"/>
        <c:axId val="613551872"/>
      </c:scatterChart>
      <c:valAx>
        <c:axId val="613551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1872"/>
        <c:crosses val="autoZero"/>
        <c:crossBetween val="midCat"/>
      </c:valAx>
      <c:valAx>
        <c:axId val="613551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14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280.66000000000003</c:v>
                </c:pt>
                <c:pt idx="1">
                  <c:v>280.35000000000002</c:v>
                </c:pt>
                <c:pt idx="2">
                  <c:v>283.61</c:v>
                </c:pt>
                <c:pt idx="3">
                  <c:v>283.01</c:v>
                </c:pt>
                <c:pt idx="4">
                  <c:v>284.75</c:v>
                </c:pt>
                <c:pt idx="5">
                  <c:v>287.77</c:v>
                </c:pt>
                <c:pt idx="6">
                  <c:v>287.11</c:v>
                </c:pt>
                <c:pt idx="7">
                  <c:v>297.79000000000002</c:v>
                </c:pt>
                <c:pt idx="8">
                  <c:v>299.02</c:v>
                </c:pt>
                <c:pt idx="9">
                  <c:v>295</c:v>
                </c:pt>
                <c:pt idx="10">
                  <c:v>293.57</c:v>
                </c:pt>
                <c:pt idx="11">
                  <c:v>294.05</c:v>
                </c:pt>
                <c:pt idx="12">
                  <c:v>291.70999999999998</c:v>
                </c:pt>
                <c:pt idx="13">
                  <c:v>283.58</c:v>
                </c:pt>
                <c:pt idx="14">
                  <c:v>287.02999999999997</c:v>
                </c:pt>
                <c:pt idx="15">
                  <c:v>289.25</c:v>
                </c:pt>
                <c:pt idx="16">
                  <c:v>291.12</c:v>
                </c:pt>
                <c:pt idx="17">
                  <c:v>287.52999999999997</c:v>
                </c:pt>
                <c:pt idx="18">
                  <c:v>283.07</c:v>
                </c:pt>
                <c:pt idx="19">
                  <c:v>283.11</c:v>
                </c:pt>
                <c:pt idx="20">
                  <c:v>285.58999999999997</c:v>
                </c:pt>
                <c:pt idx="21">
                  <c:v>278.77</c:v>
                </c:pt>
                <c:pt idx="22">
                  <c:v>286.39999999999998</c:v>
                </c:pt>
                <c:pt idx="23">
                  <c:v>286.97000000000003</c:v>
                </c:pt>
                <c:pt idx="24">
                  <c:v>286.25</c:v>
                </c:pt>
                <c:pt idx="25">
                  <c:v>287.38</c:v>
                </c:pt>
                <c:pt idx="26">
                  <c:v>286.49</c:v>
                </c:pt>
                <c:pt idx="27">
                  <c:v>287.77</c:v>
                </c:pt>
                <c:pt idx="28">
                  <c:v>289.54000000000002</c:v>
                </c:pt>
                <c:pt idx="29">
                  <c:v>285.3</c:v>
                </c:pt>
                <c:pt idx="30">
                  <c:v>291.16000000000003</c:v>
                </c:pt>
                <c:pt idx="31">
                  <c:v>290.22000000000003</c:v>
                </c:pt>
                <c:pt idx="32">
                  <c:v>297.19</c:v>
                </c:pt>
                <c:pt idx="33">
                  <c:v>295.77999999999997</c:v>
                </c:pt>
                <c:pt idx="34">
                  <c:v>294.07</c:v>
                </c:pt>
                <c:pt idx="35">
                  <c:v>302.77</c:v>
                </c:pt>
                <c:pt idx="36">
                  <c:v>303.77999999999997</c:v>
                </c:pt>
                <c:pt idx="37">
                  <c:v>305.2</c:v>
                </c:pt>
                <c:pt idx="38">
                  <c:v>305.93</c:v>
                </c:pt>
                <c:pt idx="39">
                  <c:v>318.11</c:v>
                </c:pt>
                <c:pt idx="40">
                  <c:v>318.32</c:v>
                </c:pt>
                <c:pt idx="41">
                  <c:v>317</c:v>
                </c:pt>
                <c:pt idx="42">
                  <c:v>319.3</c:v>
                </c:pt>
                <c:pt idx="43">
                  <c:v>317.64999999999998</c:v>
                </c:pt>
                <c:pt idx="44">
                  <c:v>322.58</c:v>
                </c:pt>
                <c:pt idx="45">
                  <c:v>321.49</c:v>
                </c:pt>
                <c:pt idx="46">
                  <c:v>319.18</c:v>
                </c:pt>
                <c:pt idx="47">
                  <c:v>324.39999999999998</c:v>
                </c:pt>
                <c:pt idx="48">
                  <c:v>319.86</c:v>
                </c:pt>
                <c:pt idx="49">
                  <c:v>295.60000000000002</c:v>
                </c:pt>
                <c:pt idx="50">
                  <c:v>295.62</c:v>
                </c:pt>
                <c:pt idx="51">
                  <c:v>277</c:v>
                </c:pt>
                <c:pt idx="52">
                  <c:v>273.49</c:v>
                </c:pt>
                <c:pt idx="53">
                  <c:v>277.26</c:v>
                </c:pt>
                <c:pt idx="54">
                  <c:v>282.56</c:v>
                </c:pt>
                <c:pt idx="55">
                  <c:v>280.18</c:v>
                </c:pt>
                <c:pt idx="56">
                  <c:v>283.64</c:v>
                </c:pt>
                <c:pt idx="57">
                  <c:v>290.89</c:v>
                </c:pt>
                <c:pt idx="58">
                  <c:v>296.45999999999998</c:v>
                </c:pt>
                <c:pt idx="59">
                  <c:v>286</c:v>
                </c:pt>
                <c:pt idx="60">
                  <c:v>290.77999999999997</c:v>
                </c:pt>
                <c:pt idx="61">
                  <c:v>290.64999999999998</c:v>
                </c:pt>
                <c:pt idx="62">
                  <c:v>299.66000000000003</c:v>
                </c:pt>
                <c:pt idx="63">
                  <c:v>295.14</c:v>
                </c:pt>
                <c:pt idx="64">
                  <c:v>295.05</c:v>
                </c:pt>
                <c:pt idx="65">
                  <c:v>291.67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53832"/>
        <c:axId val="613554224"/>
      </c:lineChart>
      <c:dateAx>
        <c:axId val="61355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4224"/>
        <c:crosses val="autoZero"/>
        <c:auto val="1"/>
        <c:lblOffset val="100"/>
        <c:baseTimeUnit val="days"/>
      </c:dateAx>
      <c:valAx>
        <c:axId val="6135542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37.07</c:v>
                </c:pt>
                <c:pt idx="1">
                  <c:v>36.950000000000003</c:v>
                </c:pt>
                <c:pt idx="2">
                  <c:v>37.19</c:v>
                </c:pt>
                <c:pt idx="3">
                  <c:v>37.07</c:v>
                </c:pt>
                <c:pt idx="4">
                  <c:v>36.729999999999997</c:v>
                </c:pt>
                <c:pt idx="5">
                  <c:v>36.770000000000003</c:v>
                </c:pt>
                <c:pt idx="6">
                  <c:v>37.28</c:v>
                </c:pt>
                <c:pt idx="7">
                  <c:v>38.950000000000003</c:v>
                </c:pt>
                <c:pt idx="8">
                  <c:v>38.950000000000003</c:v>
                </c:pt>
                <c:pt idx="9">
                  <c:v>38.5</c:v>
                </c:pt>
                <c:pt idx="10">
                  <c:v>39.159999999999997</c:v>
                </c:pt>
                <c:pt idx="11">
                  <c:v>39.630000000000003</c:v>
                </c:pt>
                <c:pt idx="12">
                  <c:v>39.11</c:v>
                </c:pt>
                <c:pt idx="13">
                  <c:v>38.15</c:v>
                </c:pt>
                <c:pt idx="14">
                  <c:v>37.380000000000003</c:v>
                </c:pt>
                <c:pt idx="15">
                  <c:v>37.21</c:v>
                </c:pt>
                <c:pt idx="16">
                  <c:v>37.58</c:v>
                </c:pt>
                <c:pt idx="17">
                  <c:v>37.5</c:v>
                </c:pt>
                <c:pt idx="18">
                  <c:v>37.31</c:v>
                </c:pt>
                <c:pt idx="19">
                  <c:v>37.520000000000003</c:v>
                </c:pt>
                <c:pt idx="20">
                  <c:v>37.29</c:v>
                </c:pt>
                <c:pt idx="21">
                  <c:v>37.49</c:v>
                </c:pt>
                <c:pt idx="22">
                  <c:v>37.82</c:v>
                </c:pt>
                <c:pt idx="23">
                  <c:v>37.76</c:v>
                </c:pt>
                <c:pt idx="24">
                  <c:v>37.69</c:v>
                </c:pt>
                <c:pt idx="25">
                  <c:v>38.299999999999997</c:v>
                </c:pt>
                <c:pt idx="26">
                  <c:v>37.130000000000003</c:v>
                </c:pt>
                <c:pt idx="27">
                  <c:v>36.51</c:v>
                </c:pt>
                <c:pt idx="28">
                  <c:v>36.06</c:v>
                </c:pt>
                <c:pt idx="29">
                  <c:v>34.5</c:v>
                </c:pt>
                <c:pt idx="30">
                  <c:v>35.86</c:v>
                </c:pt>
                <c:pt idx="31">
                  <c:v>35.65</c:v>
                </c:pt>
                <c:pt idx="32">
                  <c:v>35.99</c:v>
                </c:pt>
                <c:pt idx="33">
                  <c:v>36.03</c:v>
                </c:pt>
                <c:pt idx="34">
                  <c:v>36.61</c:v>
                </c:pt>
                <c:pt idx="35">
                  <c:v>36.06</c:v>
                </c:pt>
                <c:pt idx="36">
                  <c:v>36.74</c:v>
                </c:pt>
                <c:pt idx="37">
                  <c:v>36.68</c:v>
                </c:pt>
                <c:pt idx="38">
                  <c:v>36.85</c:v>
                </c:pt>
                <c:pt idx="39">
                  <c:v>36.32</c:v>
                </c:pt>
                <c:pt idx="40">
                  <c:v>36.68</c:v>
                </c:pt>
                <c:pt idx="41">
                  <c:v>36.47</c:v>
                </c:pt>
                <c:pt idx="42">
                  <c:v>37.56</c:v>
                </c:pt>
                <c:pt idx="43">
                  <c:v>37.9</c:v>
                </c:pt>
                <c:pt idx="44">
                  <c:v>38.659999999999997</c:v>
                </c:pt>
                <c:pt idx="45">
                  <c:v>38.44</c:v>
                </c:pt>
                <c:pt idx="46">
                  <c:v>37.93</c:v>
                </c:pt>
                <c:pt idx="47">
                  <c:v>38.28</c:v>
                </c:pt>
                <c:pt idx="48">
                  <c:v>38.92</c:v>
                </c:pt>
                <c:pt idx="49">
                  <c:v>37.11</c:v>
                </c:pt>
                <c:pt idx="50">
                  <c:v>36.590000000000003</c:v>
                </c:pt>
                <c:pt idx="51">
                  <c:v>35</c:v>
                </c:pt>
                <c:pt idx="52">
                  <c:v>34.14</c:v>
                </c:pt>
                <c:pt idx="53">
                  <c:v>36.67</c:v>
                </c:pt>
                <c:pt idx="54">
                  <c:v>37.159999999999997</c:v>
                </c:pt>
                <c:pt idx="55">
                  <c:v>36.5</c:v>
                </c:pt>
                <c:pt idx="56">
                  <c:v>37.19</c:v>
                </c:pt>
                <c:pt idx="57">
                  <c:v>38.020000000000003</c:v>
                </c:pt>
                <c:pt idx="58">
                  <c:v>38.08</c:v>
                </c:pt>
                <c:pt idx="59">
                  <c:v>38.68</c:v>
                </c:pt>
                <c:pt idx="60">
                  <c:v>37.56</c:v>
                </c:pt>
                <c:pt idx="61">
                  <c:v>37.020000000000003</c:v>
                </c:pt>
                <c:pt idx="62">
                  <c:v>37.61</c:v>
                </c:pt>
                <c:pt idx="63">
                  <c:v>37.200000000000003</c:v>
                </c:pt>
                <c:pt idx="64">
                  <c:v>37.39</c:v>
                </c:pt>
                <c:pt idx="65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56184"/>
        <c:axId val="613556576"/>
      </c:lineChart>
      <c:dateAx>
        <c:axId val="61355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6576"/>
        <c:crosses val="autoZero"/>
        <c:auto val="1"/>
        <c:lblOffset val="100"/>
        <c:baseTimeUnit val="days"/>
      </c:dateAx>
      <c:valAx>
        <c:axId val="6135565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80.72</c:v>
                </c:pt>
                <c:pt idx="1">
                  <c:v>80.77</c:v>
                </c:pt>
                <c:pt idx="2">
                  <c:v>82.03</c:v>
                </c:pt>
                <c:pt idx="3">
                  <c:v>81.150000000000006</c:v>
                </c:pt>
                <c:pt idx="4">
                  <c:v>80.78</c:v>
                </c:pt>
                <c:pt idx="5">
                  <c:v>84.36</c:v>
                </c:pt>
                <c:pt idx="6">
                  <c:v>84.7</c:v>
                </c:pt>
                <c:pt idx="7">
                  <c:v>87.46</c:v>
                </c:pt>
                <c:pt idx="8">
                  <c:v>86.12</c:v>
                </c:pt>
                <c:pt idx="9">
                  <c:v>88.22</c:v>
                </c:pt>
                <c:pt idx="10">
                  <c:v>87.97</c:v>
                </c:pt>
                <c:pt idx="11">
                  <c:v>95.63</c:v>
                </c:pt>
                <c:pt idx="12">
                  <c:v>94.94</c:v>
                </c:pt>
                <c:pt idx="13">
                  <c:v>94.26</c:v>
                </c:pt>
                <c:pt idx="14">
                  <c:v>93.95</c:v>
                </c:pt>
                <c:pt idx="15">
                  <c:v>93.7</c:v>
                </c:pt>
                <c:pt idx="16">
                  <c:v>93.71</c:v>
                </c:pt>
                <c:pt idx="17">
                  <c:v>93.21</c:v>
                </c:pt>
                <c:pt idx="18">
                  <c:v>93.4</c:v>
                </c:pt>
                <c:pt idx="19">
                  <c:v>94.76</c:v>
                </c:pt>
                <c:pt idx="20">
                  <c:v>95.18</c:v>
                </c:pt>
                <c:pt idx="21">
                  <c:v>94.41</c:v>
                </c:pt>
                <c:pt idx="22">
                  <c:v>94.07</c:v>
                </c:pt>
                <c:pt idx="23">
                  <c:v>95.02</c:v>
                </c:pt>
                <c:pt idx="24">
                  <c:v>94.97</c:v>
                </c:pt>
                <c:pt idx="25">
                  <c:v>96.17</c:v>
                </c:pt>
                <c:pt idx="26">
                  <c:v>96.39</c:v>
                </c:pt>
                <c:pt idx="27">
                  <c:v>98.72</c:v>
                </c:pt>
                <c:pt idx="28">
                  <c:v>98.05</c:v>
                </c:pt>
                <c:pt idx="29">
                  <c:v>95.29</c:v>
                </c:pt>
                <c:pt idx="30">
                  <c:v>93.98</c:v>
                </c:pt>
                <c:pt idx="31">
                  <c:v>93.64</c:v>
                </c:pt>
                <c:pt idx="32">
                  <c:v>92.07</c:v>
                </c:pt>
                <c:pt idx="33">
                  <c:v>91.25</c:v>
                </c:pt>
                <c:pt idx="34">
                  <c:v>91.29</c:v>
                </c:pt>
                <c:pt idx="35">
                  <c:v>91.82</c:v>
                </c:pt>
                <c:pt idx="36">
                  <c:v>92.24</c:v>
                </c:pt>
                <c:pt idx="37">
                  <c:v>93.07</c:v>
                </c:pt>
                <c:pt idx="38">
                  <c:v>93.86</c:v>
                </c:pt>
                <c:pt idx="39">
                  <c:v>90.79</c:v>
                </c:pt>
                <c:pt idx="40">
                  <c:v>88.88</c:v>
                </c:pt>
                <c:pt idx="41">
                  <c:v>88.96</c:v>
                </c:pt>
                <c:pt idx="42">
                  <c:v>92.12</c:v>
                </c:pt>
                <c:pt idx="43">
                  <c:v>90.85</c:v>
                </c:pt>
                <c:pt idx="44">
                  <c:v>89.6</c:v>
                </c:pt>
                <c:pt idx="45">
                  <c:v>92.44</c:v>
                </c:pt>
                <c:pt idx="46">
                  <c:v>90.12</c:v>
                </c:pt>
                <c:pt idx="47">
                  <c:v>89.79</c:v>
                </c:pt>
                <c:pt idx="48">
                  <c:v>86.75</c:v>
                </c:pt>
                <c:pt idx="49">
                  <c:v>82.87</c:v>
                </c:pt>
                <c:pt idx="50">
                  <c:v>83.63</c:v>
                </c:pt>
                <c:pt idx="51">
                  <c:v>81.39</c:v>
                </c:pt>
                <c:pt idx="52">
                  <c:v>80.78</c:v>
                </c:pt>
                <c:pt idx="53">
                  <c:v>80.2</c:v>
                </c:pt>
                <c:pt idx="54">
                  <c:v>80.72</c:v>
                </c:pt>
                <c:pt idx="55">
                  <c:v>81.260000000000005</c:v>
                </c:pt>
                <c:pt idx="56">
                  <c:v>80.41</c:v>
                </c:pt>
                <c:pt idx="57">
                  <c:v>80.16</c:v>
                </c:pt>
                <c:pt idx="58">
                  <c:v>82.46</c:v>
                </c:pt>
                <c:pt idx="60">
                  <c:v>81.16</c:v>
                </c:pt>
                <c:pt idx="61">
                  <c:v>79.72</c:v>
                </c:pt>
                <c:pt idx="62">
                  <c:v>80.010000000000005</c:v>
                </c:pt>
                <c:pt idx="63">
                  <c:v>80.930000000000007</c:v>
                </c:pt>
                <c:pt idx="64">
                  <c:v>80.900000000000006</c:v>
                </c:pt>
                <c:pt idx="65">
                  <c:v>80.400000000000006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58536"/>
        <c:axId val="613558928"/>
      </c:lineChart>
      <c:dateAx>
        <c:axId val="61355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8928"/>
        <c:crosses val="autoZero"/>
        <c:auto val="1"/>
        <c:lblOffset val="100"/>
        <c:baseTimeUnit val="days"/>
      </c:dateAx>
      <c:valAx>
        <c:axId val="613558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5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120</c:v>
                </c:pt>
                <c:pt idx="1">
                  <c:v>119.78</c:v>
                </c:pt>
                <c:pt idx="2">
                  <c:v>119.99</c:v>
                </c:pt>
                <c:pt idx="3">
                  <c:v>120</c:v>
                </c:pt>
                <c:pt idx="4">
                  <c:v>119.04</c:v>
                </c:pt>
                <c:pt idx="5">
                  <c:v>119.25</c:v>
                </c:pt>
                <c:pt idx="6">
                  <c:v>119.75</c:v>
                </c:pt>
                <c:pt idx="7">
                  <c:v>119.11</c:v>
                </c:pt>
                <c:pt idx="8">
                  <c:v>118.99</c:v>
                </c:pt>
                <c:pt idx="9">
                  <c:v>117.91</c:v>
                </c:pt>
                <c:pt idx="10">
                  <c:v>116.61</c:v>
                </c:pt>
                <c:pt idx="11">
                  <c:v>116.02</c:v>
                </c:pt>
                <c:pt idx="12">
                  <c:v>116.15</c:v>
                </c:pt>
                <c:pt idx="13">
                  <c:v>115.82</c:v>
                </c:pt>
                <c:pt idx="14">
                  <c:v>116.73</c:v>
                </c:pt>
                <c:pt idx="15">
                  <c:v>116.76</c:v>
                </c:pt>
                <c:pt idx="16">
                  <c:v>117.26</c:v>
                </c:pt>
                <c:pt idx="17">
                  <c:v>116.52</c:v>
                </c:pt>
                <c:pt idx="18">
                  <c:v>116.29</c:v>
                </c:pt>
                <c:pt idx="19">
                  <c:v>117.06</c:v>
                </c:pt>
                <c:pt idx="20">
                  <c:v>116.95</c:v>
                </c:pt>
                <c:pt idx="21">
                  <c:v>116.64</c:v>
                </c:pt>
                <c:pt idx="22">
                  <c:v>115.97</c:v>
                </c:pt>
                <c:pt idx="23">
                  <c:v>115.82</c:v>
                </c:pt>
                <c:pt idx="24">
                  <c:v>115.19</c:v>
                </c:pt>
                <c:pt idx="25">
                  <c:v>115.19</c:v>
                </c:pt>
                <c:pt idx="26">
                  <c:v>113.3</c:v>
                </c:pt>
                <c:pt idx="27">
                  <c:v>113.95</c:v>
                </c:pt>
                <c:pt idx="28">
                  <c:v>112.12</c:v>
                </c:pt>
                <c:pt idx="29">
                  <c:v>111.03</c:v>
                </c:pt>
                <c:pt idx="30">
                  <c:v>109.95</c:v>
                </c:pt>
                <c:pt idx="31">
                  <c:v>109.11</c:v>
                </c:pt>
                <c:pt idx="32">
                  <c:v>109.9</c:v>
                </c:pt>
                <c:pt idx="33">
                  <c:v>109.49</c:v>
                </c:pt>
                <c:pt idx="34">
                  <c:v>110.52</c:v>
                </c:pt>
                <c:pt idx="35">
                  <c:v>111.46</c:v>
                </c:pt>
                <c:pt idx="36">
                  <c:v>111.57</c:v>
                </c:pt>
                <c:pt idx="37">
                  <c:v>111.79</c:v>
                </c:pt>
                <c:pt idx="38">
                  <c:v>111.23</c:v>
                </c:pt>
                <c:pt idx="39">
                  <c:v>111.8</c:v>
                </c:pt>
                <c:pt idx="40">
                  <c:v>111.73</c:v>
                </c:pt>
                <c:pt idx="41">
                  <c:v>110.06</c:v>
                </c:pt>
                <c:pt idx="42">
                  <c:v>109.95</c:v>
                </c:pt>
                <c:pt idx="43">
                  <c:v>109.99</c:v>
                </c:pt>
                <c:pt idx="44">
                  <c:v>107.11</c:v>
                </c:pt>
                <c:pt idx="45">
                  <c:v>105.71</c:v>
                </c:pt>
                <c:pt idx="46">
                  <c:v>108.43</c:v>
                </c:pt>
                <c:pt idx="47">
                  <c:v>107.79</c:v>
                </c:pt>
                <c:pt idx="48">
                  <c:v>110.88</c:v>
                </c:pt>
                <c:pt idx="49">
                  <c:v>111.06</c:v>
                </c:pt>
                <c:pt idx="50">
                  <c:v>110.41</c:v>
                </c:pt>
                <c:pt idx="51">
                  <c:v>108.84</c:v>
                </c:pt>
                <c:pt idx="52">
                  <c:v>109.83</c:v>
                </c:pt>
                <c:pt idx="54">
                  <c:v>111.59</c:v>
                </c:pt>
                <c:pt idx="55">
                  <c:v>111.49</c:v>
                </c:pt>
                <c:pt idx="56">
                  <c:v>113.54</c:v>
                </c:pt>
                <c:pt idx="57">
                  <c:v>113.72</c:v>
                </c:pt>
                <c:pt idx="58">
                  <c:v>114.48</c:v>
                </c:pt>
                <c:pt idx="59">
                  <c:v>115.59</c:v>
                </c:pt>
                <c:pt idx="60">
                  <c:v>118.25</c:v>
                </c:pt>
                <c:pt idx="61">
                  <c:v>117.65</c:v>
                </c:pt>
                <c:pt idx="62">
                  <c:v>116.6</c:v>
                </c:pt>
                <c:pt idx="63">
                  <c:v>117.06</c:v>
                </c:pt>
                <c:pt idx="64">
                  <c:v>117.12</c:v>
                </c:pt>
                <c:pt idx="65">
                  <c:v>117.47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60888"/>
        <c:axId val="613561280"/>
      </c:lineChart>
      <c:dateAx>
        <c:axId val="61356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1280"/>
        <c:crosses val="autoZero"/>
        <c:auto val="1"/>
        <c:lblOffset val="100"/>
        <c:baseTimeUnit val="days"/>
      </c:dateAx>
      <c:valAx>
        <c:axId val="6135612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76.2</c:v>
                </c:pt>
                <c:pt idx="1">
                  <c:v>76.69</c:v>
                </c:pt>
                <c:pt idx="2">
                  <c:v>77.489999999999995</c:v>
                </c:pt>
                <c:pt idx="3">
                  <c:v>76.599999999999994</c:v>
                </c:pt>
                <c:pt idx="4">
                  <c:v>76.62</c:v>
                </c:pt>
                <c:pt idx="5">
                  <c:v>76.88</c:v>
                </c:pt>
                <c:pt idx="6">
                  <c:v>76.91</c:v>
                </c:pt>
                <c:pt idx="7">
                  <c:v>76.650000000000006</c:v>
                </c:pt>
                <c:pt idx="8">
                  <c:v>75.86</c:v>
                </c:pt>
                <c:pt idx="9">
                  <c:v>75.47</c:v>
                </c:pt>
                <c:pt idx="10">
                  <c:v>75.319999999999993</c:v>
                </c:pt>
                <c:pt idx="11">
                  <c:v>76.260000000000005</c:v>
                </c:pt>
                <c:pt idx="13">
                  <c:v>75.349999999999994</c:v>
                </c:pt>
                <c:pt idx="14">
                  <c:v>74.08</c:v>
                </c:pt>
                <c:pt idx="15">
                  <c:v>73.92</c:v>
                </c:pt>
                <c:pt idx="16">
                  <c:v>74.37</c:v>
                </c:pt>
                <c:pt idx="17">
                  <c:v>74.98</c:v>
                </c:pt>
                <c:pt idx="18">
                  <c:v>74.97</c:v>
                </c:pt>
                <c:pt idx="19">
                  <c:v>74.58</c:v>
                </c:pt>
                <c:pt idx="20">
                  <c:v>75.319999999999993</c:v>
                </c:pt>
                <c:pt idx="21">
                  <c:v>75.06</c:v>
                </c:pt>
                <c:pt idx="22">
                  <c:v>74.55</c:v>
                </c:pt>
                <c:pt idx="23">
                  <c:v>75</c:v>
                </c:pt>
                <c:pt idx="24">
                  <c:v>74.94</c:v>
                </c:pt>
                <c:pt idx="25">
                  <c:v>74.069999999999993</c:v>
                </c:pt>
                <c:pt idx="26">
                  <c:v>73.84</c:v>
                </c:pt>
                <c:pt idx="27">
                  <c:v>73.58</c:v>
                </c:pt>
                <c:pt idx="28">
                  <c:v>74.77</c:v>
                </c:pt>
                <c:pt idx="29">
                  <c:v>74.91</c:v>
                </c:pt>
                <c:pt idx="30">
                  <c:v>74.290000000000006</c:v>
                </c:pt>
                <c:pt idx="31">
                  <c:v>72.31</c:v>
                </c:pt>
                <c:pt idx="32">
                  <c:v>72.03</c:v>
                </c:pt>
                <c:pt idx="33">
                  <c:v>71.86</c:v>
                </c:pt>
                <c:pt idx="34">
                  <c:v>72.53</c:v>
                </c:pt>
                <c:pt idx="35">
                  <c:v>72.040000000000006</c:v>
                </c:pt>
                <c:pt idx="36">
                  <c:v>71.489999999999995</c:v>
                </c:pt>
                <c:pt idx="37">
                  <c:v>72.13</c:v>
                </c:pt>
                <c:pt idx="38">
                  <c:v>72.86</c:v>
                </c:pt>
                <c:pt idx="39">
                  <c:v>72.88</c:v>
                </c:pt>
                <c:pt idx="40">
                  <c:v>71.72</c:v>
                </c:pt>
                <c:pt idx="41">
                  <c:v>71.540000000000006</c:v>
                </c:pt>
                <c:pt idx="42">
                  <c:v>71</c:v>
                </c:pt>
                <c:pt idx="43">
                  <c:v>71.78</c:v>
                </c:pt>
                <c:pt idx="44">
                  <c:v>71.680000000000007</c:v>
                </c:pt>
                <c:pt idx="45">
                  <c:v>72.47</c:v>
                </c:pt>
                <c:pt idx="46">
                  <c:v>72.42</c:v>
                </c:pt>
                <c:pt idx="47">
                  <c:v>70.5</c:v>
                </c:pt>
                <c:pt idx="48">
                  <c:v>70.11</c:v>
                </c:pt>
                <c:pt idx="49">
                  <c:v>68.739999999999995</c:v>
                </c:pt>
                <c:pt idx="50">
                  <c:v>67.069999999999993</c:v>
                </c:pt>
                <c:pt idx="51">
                  <c:v>67</c:v>
                </c:pt>
                <c:pt idx="52">
                  <c:v>65.510000000000005</c:v>
                </c:pt>
                <c:pt idx="53">
                  <c:v>65.33</c:v>
                </c:pt>
                <c:pt idx="54">
                  <c:v>65.45</c:v>
                </c:pt>
                <c:pt idx="55">
                  <c:v>66.25</c:v>
                </c:pt>
                <c:pt idx="56">
                  <c:v>66.42</c:v>
                </c:pt>
                <c:pt idx="57">
                  <c:v>66.45</c:v>
                </c:pt>
                <c:pt idx="58">
                  <c:v>66.930000000000007</c:v>
                </c:pt>
                <c:pt idx="59">
                  <c:v>66.8</c:v>
                </c:pt>
                <c:pt idx="60">
                  <c:v>66.739999999999995</c:v>
                </c:pt>
                <c:pt idx="61">
                  <c:v>67.09</c:v>
                </c:pt>
                <c:pt idx="62">
                  <c:v>67.36</c:v>
                </c:pt>
                <c:pt idx="63">
                  <c:v>66.78</c:v>
                </c:pt>
                <c:pt idx="64">
                  <c:v>61.25</c:v>
                </c:pt>
                <c:pt idx="65">
                  <c:v>60.08</c:v>
                </c:pt>
                <c:pt idx="66">
                  <c:v>59.9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63240"/>
        <c:axId val="613563632"/>
      </c:lineChart>
      <c:dateAx>
        <c:axId val="61356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3632"/>
        <c:crosses val="autoZero"/>
        <c:auto val="1"/>
        <c:lblOffset val="100"/>
        <c:baseTimeUnit val="days"/>
      </c:dateAx>
      <c:valAx>
        <c:axId val="6135636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</c:v>
                </c:pt>
                <c:pt idx="1">
                  <c:v>71.010000000000005</c:v>
                </c:pt>
                <c:pt idx="2">
                  <c:v>72.44</c:v>
                </c:pt>
                <c:pt idx="3">
                  <c:v>74.33</c:v>
                </c:pt>
                <c:pt idx="4">
                  <c:v>73.09</c:v>
                </c:pt>
                <c:pt idx="5">
                  <c:v>73.59</c:v>
                </c:pt>
                <c:pt idx="6">
                  <c:v>73.42</c:v>
                </c:pt>
                <c:pt idx="7">
                  <c:v>74.25</c:v>
                </c:pt>
                <c:pt idx="8">
                  <c:v>73.73</c:v>
                </c:pt>
                <c:pt idx="9">
                  <c:v>73.349999999999994</c:v>
                </c:pt>
                <c:pt idx="10">
                  <c:v>74.52</c:v>
                </c:pt>
                <c:pt idx="11">
                  <c:v>76.040000000000006</c:v>
                </c:pt>
                <c:pt idx="12">
                  <c:v>74.19</c:v>
                </c:pt>
                <c:pt idx="13">
                  <c:v>74.069999999999993</c:v>
                </c:pt>
                <c:pt idx="14">
                  <c:v>74.13</c:v>
                </c:pt>
                <c:pt idx="15">
                  <c:v>74.02</c:v>
                </c:pt>
                <c:pt idx="16">
                  <c:v>74.53</c:v>
                </c:pt>
                <c:pt idx="17">
                  <c:v>74.14</c:v>
                </c:pt>
                <c:pt idx="18">
                  <c:v>74.36</c:v>
                </c:pt>
                <c:pt idx="19">
                  <c:v>77.430000000000007</c:v>
                </c:pt>
                <c:pt idx="20">
                  <c:v>77.27</c:v>
                </c:pt>
                <c:pt idx="21">
                  <c:v>75.95</c:v>
                </c:pt>
                <c:pt idx="23">
                  <c:v>77.099999999999994</c:v>
                </c:pt>
                <c:pt idx="24">
                  <c:v>77.11</c:v>
                </c:pt>
                <c:pt idx="25">
                  <c:v>75.89</c:v>
                </c:pt>
                <c:pt idx="26">
                  <c:v>75.959999999999994</c:v>
                </c:pt>
                <c:pt idx="27">
                  <c:v>76.209999999999994</c:v>
                </c:pt>
                <c:pt idx="28">
                  <c:v>77.2</c:v>
                </c:pt>
                <c:pt idx="29">
                  <c:v>76.92</c:v>
                </c:pt>
                <c:pt idx="30">
                  <c:v>77.099999999999994</c:v>
                </c:pt>
                <c:pt idx="31">
                  <c:v>75.69</c:v>
                </c:pt>
                <c:pt idx="32">
                  <c:v>76.37</c:v>
                </c:pt>
                <c:pt idx="33">
                  <c:v>74.56</c:v>
                </c:pt>
                <c:pt idx="34">
                  <c:v>73.48</c:v>
                </c:pt>
                <c:pt idx="35">
                  <c:v>77.319999999999993</c:v>
                </c:pt>
                <c:pt idx="36">
                  <c:v>78.31</c:v>
                </c:pt>
                <c:pt idx="37">
                  <c:v>78.66</c:v>
                </c:pt>
                <c:pt idx="38">
                  <c:v>80.06</c:v>
                </c:pt>
                <c:pt idx="39">
                  <c:v>79.709999999999994</c:v>
                </c:pt>
                <c:pt idx="40">
                  <c:v>79.3</c:v>
                </c:pt>
                <c:pt idx="41">
                  <c:v>76.739999999999995</c:v>
                </c:pt>
                <c:pt idx="42">
                  <c:v>76.87</c:v>
                </c:pt>
                <c:pt idx="43">
                  <c:v>76.91</c:v>
                </c:pt>
                <c:pt idx="44">
                  <c:v>76.64</c:v>
                </c:pt>
                <c:pt idx="45">
                  <c:v>76.849999999999994</c:v>
                </c:pt>
                <c:pt idx="46">
                  <c:v>76.66</c:v>
                </c:pt>
                <c:pt idx="47">
                  <c:v>74.7</c:v>
                </c:pt>
                <c:pt idx="48">
                  <c:v>74.38</c:v>
                </c:pt>
                <c:pt idx="49">
                  <c:v>71.5</c:v>
                </c:pt>
                <c:pt idx="50">
                  <c:v>69.72</c:v>
                </c:pt>
                <c:pt idx="51">
                  <c:v>69.77</c:v>
                </c:pt>
                <c:pt idx="52">
                  <c:v>68.53</c:v>
                </c:pt>
                <c:pt idx="53">
                  <c:v>68.53</c:v>
                </c:pt>
                <c:pt idx="54">
                  <c:v>69.599999999999994</c:v>
                </c:pt>
                <c:pt idx="55">
                  <c:v>69.05</c:v>
                </c:pt>
                <c:pt idx="56">
                  <c:v>69.09</c:v>
                </c:pt>
                <c:pt idx="57">
                  <c:v>68.34</c:v>
                </c:pt>
                <c:pt idx="58">
                  <c:v>67.45</c:v>
                </c:pt>
                <c:pt idx="59">
                  <c:v>68.27</c:v>
                </c:pt>
                <c:pt idx="60">
                  <c:v>68.17</c:v>
                </c:pt>
                <c:pt idx="61">
                  <c:v>68.27</c:v>
                </c:pt>
                <c:pt idx="62">
                  <c:v>67.930000000000007</c:v>
                </c:pt>
                <c:pt idx="63">
                  <c:v>67.98</c:v>
                </c:pt>
                <c:pt idx="64">
                  <c:v>68.7</c:v>
                </c:pt>
                <c:pt idx="65">
                  <c:v>68.69</c:v>
                </c:pt>
                <c:pt idx="66">
                  <c:v>68.489999999999995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65592"/>
        <c:axId val="613565984"/>
      </c:lineChart>
      <c:dateAx>
        <c:axId val="61356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5984"/>
        <c:crosses val="autoZero"/>
        <c:auto val="1"/>
        <c:lblOffset val="100"/>
        <c:baseTimeUnit val="days"/>
      </c:dateAx>
      <c:valAx>
        <c:axId val="613565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32.39</c:v>
                </c:pt>
                <c:pt idx="1">
                  <c:v>32.35</c:v>
                </c:pt>
                <c:pt idx="2">
                  <c:v>32.770000000000003</c:v>
                </c:pt>
                <c:pt idx="3">
                  <c:v>32.64</c:v>
                </c:pt>
                <c:pt idx="4">
                  <c:v>32.520000000000003</c:v>
                </c:pt>
                <c:pt idx="5">
                  <c:v>32.11</c:v>
                </c:pt>
                <c:pt idx="6">
                  <c:v>31.85</c:v>
                </c:pt>
                <c:pt idx="7">
                  <c:v>32.1</c:v>
                </c:pt>
                <c:pt idx="8">
                  <c:v>31.79</c:v>
                </c:pt>
                <c:pt idx="9">
                  <c:v>31.81</c:v>
                </c:pt>
                <c:pt idx="10">
                  <c:v>31.12</c:v>
                </c:pt>
                <c:pt idx="11">
                  <c:v>31.11</c:v>
                </c:pt>
                <c:pt idx="12">
                  <c:v>31.08</c:v>
                </c:pt>
                <c:pt idx="13">
                  <c:v>30.36</c:v>
                </c:pt>
                <c:pt idx="14">
                  <c:v>30.43</c:v>
                </c:pt>
                <c:pt idx="15">
                  <c:v>30.29</c:v>
                </c:pt>
                <c:pt idx="16">
                  <c:v>30.64</c:v>
                </c:pt>
                <c:pt idx="17">
                  <c:v>30.3</c:v>
                </c:pt>
                <c:pt idx="18">
                  <c:v>30.44</c:v>
                </c:pt>
                <c:pt idx="19">
                  <c:v>30.44</c:v>
                </c:pt>
                <c:pt idx="20">
                  <c:v>30.26</c:v>
                </c:pt>
                <c:pt idx="21">
                  <c:v>30.54</c:v>
                </c:pt>
                <c:pt idx="22">
                  <c:v>30.81</c:v>
                </c:pt>
                <c:pt idx="23">
                  <c:v>30.86</c:v>
                </c:pt>
                <c:pt idx="24">
                  <c:v>30.88</c:v>
                </c:pt>
                <c:pt idx="25">
                  <c:v>31.26</c:v>
                </c:pt>
                <c:pt idx="26">
                  <c:v>31.32</c:v>
                </c:pt>
                <c:pt idx="27">
                  <c:v>31.26</c:v>
                </c:pt>
                <c:pt idx="28">
                  <c:v>30.79</c:v>
                </c:pt>
                <c:pt idx="29">
                  <c:v>30.13</c:v>
                </c:pt>
                <c:pt idx="30">
                  <c:v>30.23</c:v>
                </c:pt>
                <c:pt idx="31">
                  <c:v>29.8</c:v>
                </c:pt>
                <c:pt idx="32">
                  <c:v>29.38</c:v>
                </c:pt>
                <c:pt idx="33">
                  <c:v>29.67</c:v>
                </c:pt>
                <c:pt idx="34">
                  <c:v>30.14</c:v>
                </c:pt>
                <c:pt idx="35">
                  <c:v>30.49</c:v>
                </c:pt>
                <c:pt idx="36">
                  <c:v>29.82</c:v>
                </c:pt>
                <c:pt idx="37">
                  <c:v>29.98</c:v>
                </c:pt>
                <c:pt idx="38">
                  <c:v>30.04</c:v>
                </c:pt>
                <c:pt idx="39">
                  <c:v>29.87</c:v>
                </c:pt>
                <c:pt idx="40">
                  <c:v>29.63</c:v>
                </c:pt>
                <c:pt idx="41">
                  <c:v>29.51</c:v>
                </c:pt>
                <c:pt idx="42">
                  <c:v>29.87</c:v>
                </c:pt>
                <c:pt idx="43">
                  <c:v>29.74</c:v>
                </c:pt>
                <c:pt idx="44">
                  <c:v>29.44</c:v>
                </c:pt>
                <c:pt idx="45">
                  <c:v>29.75</c:v>
                </c:pt>
                <c:pt idx="46">
                  <c:v>29.24</c:v>
                </c:pt>
                <c:pt idx="47">
                  <c:v>29.51</c:v>
                </c:pt>
                <c:pt idx="48">
                  <c:v>29.36</c:v>
                </c:pt>
                <c:pt idx="49">
                  <c:v>29.44</c:v>
                </c:pt>
                <c:pt idx="50">
                  <c:v>28.51</c:v>
                </c:pt>
                <c:pt idx="51">
                  <c:v>30.24</c:v>
                </c:pt>
                <c:pt idx="52">
                  <c:v>30.24</c:v>
                </c:pt>
                <c:pt idx="53">
                  <c:v>31.53</c:v>
                </c:pt>
                <c:pt idx="54">
                  <c:v>31.13</c:v>
                </c:pt>
                <c:pt idx="55">
                  <c:v>31.84</c:v>
                </c:pt>
                <c:pt idx="56">
                  <c:v>31.8</c:v>
                </c:pt>
                <c:pt idx="57">
                  <c:v>32</c:v>
                </c:pt>
                <c:pt idx="58">
                  <c:v>32.04</c:v>
                </c:pt>
                <c:pt idx="59">
                  <c:v>32.25</c:v>
                </c:pt>
                <c:pt idx="60">
                  <c:v>32.36</c:v>
                </c:pt>
                <c:pt idx="61">
                  <c:v>32.29</c:v>
                </c:pt>
                <c:pt idx="62">
                  <c:v>32.409999999999997</c:v>
                </c:pt>
                <c:pt idx="63">
                  <c:v>32.24</c:v>
                </c:pt>
                <c:pt idx="64">
                  <c:v>32.29</c:v>
                </c:pt>
                <c:pt idx="65">
                  <c:v>32.15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798448"/>
        <c:axId val="631798840"/>
      </c:lineChart>
      <c:dateAx>
        <c:axId val="63179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98840"/>
        <c:crosses val="autoZero"/>
        <c:auto val="1"/>
        <c:lblOffset val="100"/>
        <c:baseTimeUnit val="days"/>
      </c:dateAx>
      <c:valAx>
        <c:axId val="63179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9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30.05</c:v>
                </c:pt>
                <c:pt idx="1">
                  <c:v>29.8</c:v>
                </c:pt>
                <c:pt idx="2">
                  <c:v>30.27</c:v>
                </c:pt>
                <c:pt idx="3">
                  <c:v>29.93</c:v>
                </c:pt>
                <c:pt idx="4">
                  <c:v>30.03</c:v>
                </c:pt>
                <c:pt idx="5">
                  <c:v>29.81</c:v>
                </c:pt>
                <c:pt idx="6">
                  <c:v>30.08</c:v>
                </c:pt>
                <c:pt idx="7">
                  <c:v>29.67</c:v>
                </c:pt>
                <c:pt idx="8">
                  <c:v>29.47</c:v>
                </c:pt>
                <c:pt idx="9">
                  <c:v>29.52</c:v>
                </c:pt>
                <c:pt idx="10">
                  <c:v>29</c:v>
                </c:pt>
                <c:pt idx="11">
                  <c:v>29.02</c:v>
                </c:pt>
                <c:pt idx="12">
                  <c:v>28.72</c:v>
                </c:pt>
                <c:pt idx="13">
                  <c:v>28.04</c:v>
                </c:pt>
                <c:pt idx="14">
                  <c:v>28.28</c:v>
                </c:pt>
                <c:pt idx="15">
                  <c:v>28.45</c:v>
                </c:pt>
                <c:pt idx="16">
                  <c:v>28.54</c:v>
                </c:pt>
                <c:pt idx="17">
                  <c:v>28.38</c:v>
                </c:pt>
                <c:pt idx="18">
                  <c:v>28.43</c:v>
                </c:pt>
                <c:pt idx="19">
                  <c:v>28.45</c:v>
                </c:pt>
                <c:pt idx="20">
                  <c:v>28.18</c:v>
                </c:pt>
                <c:pt idx="21">
                  <c:v>28.12</c:v>
                </c:pt>
                <c:pt idx="22">
                  <c:v>28.03</c:v>
                </c:pt>
                <c:pt idx="23">
                  <c:v>27.99</c:v>
                </c:pt>
                <c:pt idx="24">
                  <c:v>28.02</c:v>
                </c:pt>
                <c:pt idx="25">
                  <c:v>27.04</c:v>
                </c:pt>
                <c:pt idx="26">
                  <c:v>26.34</c:v>
                </c:pt>
                <c:pt idx="27">
                  <c:v>28.21</c:v>
                </c:pt>
                <c:pt idx="28">
                  <c:v>28.64</c:v>
                </c:pt>
                <c:pt idx="29">
                  <c:v>28.11</c:v>
                </c:pt>
                <c:pt idx="30">
                  <c:v>27.5</c:v>
                </c:pt>
                <c:pt idx="31">
                  <c:v>27.56</c:v>
                </c:pt>
                <c:pt idx="32">
                  <c:v>27.4</c:v>
                </c:pt>
                <c:pt idx="33">
                  <c:v>28.2</c:v>
                </c:pt>
                <c:pt idx="34">
                  <c:v>28.11</c:v>
                </c:pt>
                <c:pt idx="35">
                  <c:v>28.47</c:v>
                </c:pt>
                <c:pt idx="36">
                  <c:v>28.31</c:v>
                </c:pt>
                <c:pt idx="37">
                  <c:v>28.36</c:v>
                </c:pt>
                <c:pt idx="38">
                  <c:v>28.4</c:v>
                </c:pt>
                <c:pt idx="39">
                  <c:v>28.27</c:v>
                </c:pt>
                <c:pt idx="40">
                  <c:v>27.8</c:v>
                </c:pt>
                <c:pt idx="41">
                  <c:v>27.82</c:v>
                </c:pt>
                <c:pt idx="42">
                  <c:v>27.92</c:v>
                </c:pt>
                <c:pt idx="43">
                  <c:v>27.54</c:v>
                </c:pt>
                <c:pt idx="44">
                  <c:v>27.45</c:v>
                </c:pt>
                <c:pt idx="45">
                  <c:v>27.52</c:v>
                </c:pt>
                <c:pt idx="46">
                  <c:v>27.14</c:v>
                </c:pt>
                <c:pt idx="47">
                  <c:v>27.16</c:v>
                </c:pt>
                <c:pt idx="48">
                  <c:v>27.46</c:v>
                </c:pt>
                <c:pt idx="49">
                  <c:v>27.09</c:v>
                </c:pt>
                <c:pt idx="50">
                  <c:v>27.39</c:v>
                </c:pt>
                <c:pt idx="51">
                  <c:v>26.94</c:v>
                </c:pt>
                <c:pt idx="52">
                  <c:v>27.71</c:v>
                </c:pt>
                <c:pt idx="53">
                  <c:v>25.83</c:v>
                </c:pt>
                <c:pt idx="54">
                  <c:v>26.19</c:v>
                </c:pt>
                <c:pt idx="55">
                  <c:v>26.27</c:v>
                </c:pt>
                <c:pt idx="56">
                  <c:v>26.25</c:v>
                </c:pt>
                <c:pt idx="57">
                  <c:v>26.11</c:v>
                </c:pt>
                <c:pt idx="58">
                  <c:v>26.4</c:v>
                </c:pt>
                <c:pt idx="59">
                  <c:v>25.56</c:v>
                </c:pt>
                <c:pt idx="60">
                  <c:v>25.57</c:v>
                </c:pt>
                <c:pt idx="61">
                  <c:v>25.83</c:v>
                </c:pt>
                <c:pt idx="62">
                  <c:v>25.27</c:v>
                </c:pt>
                <c:pt idx="63">
                  <c:v>25.12</c:v>
                </c:pt>
                <c:pt idx="64">
                  <c:v>24.96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00800"/>
        <c:axId val="631801192"/>
      </c:lineChart>
      <c:dateAx>
        <c:axId val="63180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1192"/>
        <c:crosses val="autoZero"/>
        <c:auto val="1"/>
        <c:lblOffset val="100"/>
        <c:baseTimeUnit val="days"/>
      </c:dateAx>
      <c:valAx>
        <c:axId val="631801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03152"/>
        <c:axId val="631803544"/>
      </c:lineChart>
      <c:dateAx>
        <c:axId val="63180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3544"/>
        <c:crosses val="autoZero"/>
        <c:auto val="1"/>
        <c:lblOffset val="100"/>
        <c:baseTimeUnit val="days"/>
      </c:dateAx>
      <c:valAx>
        <c:axId val="631803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51.09</c:v>
                </c:pt>
                <c:pt idx="1">
                  <c:v>50.07</c:v>
                </c:pt>
                <c:pt idx="2">
                  <c:v>50.38</c:v>
                </c:pt>
                <c:pt idx="3">
                  <c:v>50.24</c:v>
                </c:pt>
                <c:pt idx="4">
                  <c:v>51.15</c:v>
                </c:pt>
                <c:pt idx="5">
                  <c:v>51.01</c:v>
                </c:pt>
                <c:pt idx="6">
                  <c:v>51.68</c:v>
                </c:pt>
                <c:pt idx="7">
                  <c:v>51.34</c:v>
                </c:pt>
                <c:pt idx="8">
                  <c:v>50.3</c:v>
                </c:pt>
                <c:pt idx="9">
                  <c:v>49.93</c:v>
                </c:pt>
                <c:pt idx="10">
                  <c:v>50.47</c:v>
                </c:pt>
                <c:pt idx="11">
                  <c:v>51.3</c:v>
                </c:pt>
                <c:pt idx="12">
                  <c:v>49.98</c:v>
                </c:pt>
                <c:pt idx="13">
                  <c:v>49.84</c:v>
                </c:pt>
                <c:pt idx="14">
                  <c:v>50.2</c:v>
                </c:pt>
                <c:pt idx="15">
                  <c:v>50.17</c:v>
                </c:pt>
                <c:pt idx="16">
                  <c:v>50.49</c:v>
                </c:pt>
                <c:pt idx="17">
                  <c:v>50.45</c:v>
                </c:pt>
                <c:pt idx="18">
                  <c:v>50.25</c:v>
                </c:pt>
                <c:pt idx="19">
                  <c:v>50.65</c:v>
                </c:pt>
                <c:pt idx="20">
                  <c:v>50.89</c:v>
                </c:pt>
                <c:pt idx="21">
                  <c:v>50.35</c:v>
                </c:pt>
                <c:pt idx="22">
                  <c:v>49.93</c:v>
                </c:pt>
                <c:pt idx="23">
                  <c:v>50.59</c:v>
                </c:pt>
                <c:pt idx="24">
                  <c:v>49.28</c:v>
                </c:pt>
                <c:pt idx="25">
                  <c:v>49.55</c:v>
                </c:pt>
                <c:pt idx="26">
                  <c:v>49.37</c:v>
                </c:pt>
                <c:pt idx="27">
                  <c:v>49.79</c:v>
                </c:pt>
                <c:pt idx="28">
                  <c:v>49.6</c:v>
                </c:pt>
                <c:pt idx="29">
                  <c:v>49.85</c:v>
                </c:pt>
                <c:pt idx="30">
                  <c:v>47.68</c:v>
                </c:pt>
                <c:pt idx="32">
                  <c:v>47.07</c:v>
                </c:pt>
                <c:pt idx="33">
                  <c:v>47.91</c:v>
                </c:pt>
                <c:pt idx="34">
                  <c:v>47.07</c:v>
                </c:pt>
                <c:pt idx="35">
                  <c:v>46.61</c:v>
                </c:pt>
                <c:pt idx="36">
                  <c:v>47.24</c:v>
                </c:pt>
                <c:pt idx="37">
                  <c:v>47.52</c:v>
                </c:pt>
                <c:pt idx="38">
                  <c:v>47.45</c:v>
                </c:pt>
                <c:pt idx="39">
                  <c:v>47.37</c:v>
                </c:pt>
                <c:pt idx="40">
                  <c:v>47.1</c:v>
                </c:pt>
                <c:pt idx="41">
                  <c:v>47.36</c:v>
                </c:pt>
                <c:pt idx="42">
                  <c:v>47.06</c:v>
                </c:pt>
                <c:pt idx="43">
                  <c:v>46.69</c:v>
                </c:pt>
                <c:pt idx="44">
                  <c:v>45.85</c:v>
                </c:pt>
                <c:pt idx="45">
                  <c:v>46.25</c:v>
                </c:pt>
                <c:pt idx="46">
                  <c:v>45.35</c:v>
                </c:pt>
                <c:pt idx="47">
                  <c:v>43.84</c:v>
                </c:pt>
                <c:pt idx="48">
                  <c:v>43.64</c:v>
                </c:pt>
                <c:pt idx="49">
                  <c:v>42.37</c:v>
                </c:pt>
                <c:pt idx="50">
                  <c:v>41.93</c:v>
                </c:pt>
                <c:pt idx="51">
                  <c:v>41.57</c:v>
                </c:pt>
                <c:pt idx="52">
                  <c:v>40.380000000000003</c:v>
                </c:pt>
                <c:pt idx="53">
                  <c:v>39.700000000000003</c:v>
                </c:pt>
                <c:pt idx="54">
                  <c:v>39.61</c:v>
                </c:pt>
                <c:pt idx="55">
                  <c:v>39.68</c:v>
                </c:pt>
                <c:pt idx="56">
                  <c:v>40.049999999999997</c:v>
                </c:pt>
                <c:pt idx="57">
                  <c:v>39.18</c:v>
                </c:pt>
                <c:pt idx="58">
                  <c:v>39.24</c:v>
                </c:pt>
                <c:pt idx="59">
                  <c:v>38.4</c:v>
                </c:pt>
                <c:pt idx="60">
                  <c:v>41.95</c:v>
                </c:pt>
                <c:pt idx="61">
                  <c:v>42.33</c:v>
                </c:pt>
                <c:pt idx="62">
                  <c:v>42.43</c:v>
                </c:pt>
                <c:pt idx="63">
                  <c:v>42.29</c:v>
                </c:pt>
                <c:pt idx="64">
                  <c:v>42.25</c:v>
                </c:pt>
                <c:pt idx="65">
                  <c:v>41.68</c:v>
                </c:pt>
                <c:pt idx="66">
                  <c:v>41.24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05504"/>
        <c:axId val="631805896"/>
      </c:lineChart>
      <c:dateAx>
        <c:axId val="63180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5896"/>
        <c:crosses val="autoZero"/>
        <c:auto val="1"/>
        <c:lblOffset val="100"/>
        <c:baseTimeUnit val="days"/>
      </c:dateAx>
      <c:valAx>
        <c:axId val="6318058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34.03</c:v>
                </c:pt>
                <c:pt idx="1">
                  <c:v>33.86</c:v>
                </c:pt>
                <c:pt idx="2">
                  <c:v>32.979999999999997</c:v>
                </c:pt>
                <c:pt idx="3">
                  <c:v>32.21</c:v>
                </c:pt>
                <c:pt idx="4">
                  <c:v>32.15</c:v>
                </c:pt>
                <c:pt idx="5">
                  <c:v>32.24</c:v>
                </c:pt>
                <c:pt idx="6">
                  <c:v>32.5</c:v>
                </c:pt>
                <c:pt idx="7">
                  <c:v>31.5</c:v>
                </c:pt>
                <c:pt idx="8">
                  <c:v>31.96</c:v>
                </c:pt>
                <c:pt idx="9">
                  <c:v>31.93</c:v>
                </c:pt>
                <c:pt idx="10">
                  <c:v>31.95</c:v>
                </c:pt>
                <c:pt idx="11">
                  <c:v>31.59</c:v>
                </c:pt>
                <c:pt idx="12">
                  <c:v>31.37</c:v>
                </c:pt>
                <c:pt idx="13">
                  <c:v>31.4</c:v>
                </c:pt>
                <c:pt idx="14">
                  <c:v>31.58</c:v>
                </c:pt>
                <c:pt idx="15">
                  <c:v>31.62</c:v>
                </c:pt>
                <c:pt idx="17">
                  <c:v>31.91</c:v>
                </c:pt>
                <c:pt idx="18">
                  <c:v>32.19</c:v>
                </c:pt>
                <c:pt idx="19">
                  <c:v>32.29</c:v>
                </c:pt>
                <c:pt idx="20">
                  <c:v>32.4</c:v>
                </c:pt>
                <c:pt idx="21">
                  <c:v>32.24</c:v>
                </c:pt>
                <c:pt idx="22">
                  <c:v>32.409999999999997</c:v>
                </c:pt>
                <c:pt idx="23">
                  <c:v>32.47</c:v>
                </c:pt>
                <c:pt idx="24">
                  <c:v>32.15</c:v>
                </c:pt>
                <c:pt idx="25">
                  <c:v>31.58</c:v>
                </c:pt>
                <c:pt idx="26">
                  <c:v>31.83</c:v>
                </c:pt>
                <c:pt idx="27">
                  <c:v>32.130000000000003</c:v>
                </c:pt>
                <c:pt idx="28">
                  <c:v>32.299999999999997</c:v>
                </c:pt>
                <c:pt idx="29">
                  <c:v>31.64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31.59</c:v>
                </c:pt>
                <c:pt idx="33">
                  <c:v>31.52</c:v>
                </c:pt>
                <c:pt idx="34">
                  <c:v>31.4</c:v>
                </c:pt>
                <c:pt idx="35">
                  <c:v>32.46</c:v>
                </c:pt>
                <c:pt idx="36">
                  <c:v>33.01</c:v>
                </c:pt>
                <c:pt idx="37">
                  <c:v>33.47</c:v>
                </c:pt>
                <c:pt idx="38">
                  <c:v>33.49</c:v>
                </c:pt>
                <c:pt idx="39">
                  <c:v>33.24</c:v>
                </c:pt>
                <c:pt idx="40">
                  <c:v>33.729999999999997</c:v>
                </c:pt>
                <c:pt idx="41">
                  <c:v>33.96</c:v>
                </c:pt>
                <c:pt idx="42">
                  <c:v>33.729999999999997</c:v>
                </c:pt>
                <c:pt idx="43">
                  <c:v>34.07</c:v>
                </c:pt>
                <c:pt idx="44">
                  <c:v>34.71</c:v>
                </c:pt>
                <c:pt idx="45">
                  <c:v>35.130000000000003</c:v>
                </c:pt>
                <c:pt idx="46">
                  <c:v>35.07</c:v>
                </c:pt>
                <c:pt idx="47">
                  <c:v>35.47</c:v>
                </c:pt>
                <c:pt idx="48">
                  <c:v>34.92</c:v>
                </c:pt>
                <c:pt idx="49">
                  <c:v>38.270000000000003</c:v>
                </c:pt>
                <c:pt idx="50">
                  <c:v>39.04</c:v>
                </c:pt>
                <c:pt idx="51">
                  <c:v>38.56</c:v>
                </c:pt>
                <c:pt idx="52">
                  <c:v>37.92</c:v>
                </c:pt>
                <c:pt idx="53">
                  <c:v>38.74</c:v>
                </c:pt>
                <c:pt idx="54">
                  <c:v>38.75</c:v>
                </c:pt>
                <c:pt idx="55">
                  <c:v>38.53</c:v>
                </c:pt>
                <c:pt idx="56">
                  <c:v>38.44</c:v>
                </c:pt>
                <c:pt idx="57">
                  <c:v>38.24</c:v>
                </c:pt>
                <c:pt idx="58">
                  <c:v>38.020000000000003</c:v>
                </c:pt>
                <c:pt idx="59">
                  <c:v>38.200000000000003</c:v>
                </c:pt>
                <c:pt idx="60">
                  <c:v>37.9</c:v>
                </c:pt>
                <c:pt idx="61">
                  <c:v>38</c:v>
                </c:pt>
                <c:pt idx="62">
                  <c:v>37.83</c:v>
                </c:pt>
                <c:pt idx="63">
                  <c:v>37.9</c:v>
                </c:pt>
                <c:pt idx="64">
                  <c:v>38.08</c:v>
                </c:pt>
                <c:pt idx="65">
                  <c:v>38.03</c:v>
                </c:pt>
                <c:pt idx="66">
                  <c:v>37.590000000000003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07856"/>
        <c:axId val="631808248"/>
      </c:lineChart>
      <c:dateAx>
        <c:axId val="631807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8248"/>
        <c:crosses val="autoZero"/>
        <c:auto val="1"/>
        <c:lblOffset val="100"/>
        <c:baseTimeUnit val="days"/>
      </c:dateAx>
      <c:valAx>
        <c:axId val="6318082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0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49.23</c:v>
                </c:pt>
                <c:pt idx="1">
                  <c:v>55.49</c:v>
                </c:pt>
                <c:pt idx="2">
                  <c:v>56.07</c:v>
                </c:pt>
                <c:pt idx="3">
                  <c:v>56.28</c:v>
                </c:pt>
                <c:pt idx="4">
                  <c:v>56.22</c:v>
                </c:pt>
                <c:pt idx="5">
                  <c:v>56.55</c:v>
                </c:pt>
                <c:pt idx="6">
                  <c:v>56.8</c:v>
                </c:pt>
                <c:pt idx="7">
                  <c:v>59.98</c:v>
                </c:pt>
                <c:pt idx="8">
                  <c:v>59.73</c:v>
                </c:pt>
                <c:pt idx="9">
                  <c:v>59.95</c:v>
                </c:pt>
                <c:pt idx="10">
                  <c:v>60.13</c:v>
                </c:pt>
                <c:pt idx="11">
                  <c:v>59.14</c:v>
                </c:pt>
                <c:pt idx="13">
                  <c:v>59.45</c:v>
                </c:pt>
                <c:pt idx="14">
                  <c:v>58.44</c:v>
                </c:pt>
                <c:pt idx="15">
                  <c:v>58.9</c:v>
                </c:pt>
                <c:pt idx="16">
                  <c:v>58.61</c:v>
                </c:pt>
                <c:pt idx="17">
                  <c:v>59.33</c:v>
                </c:pt>
                <c:pt idx="18">
                  <c:v>59.61</c:v>
                </c:pt>
                <c:pt idx="19">
                  <c:v>58.76</c:v>
                </c:pt>
                <c:pt idx="20">
                  <c:v>58.69</c:v>
                </c:pt>
                <c:pt idx="21">
                  <c:v>59.12</c:v>
                </c:pt>
                <c:pt idx="22">
                  <c:v>59.42</c:v>
                </c:pt>
                <c:pt idx="23">
                  <c:v>58.62</c:v>
                </c:pt>
                <c:pt idx="24">
                  <c:v>58.65</c:v>
                </c:pt>
                <c:pt idx="25">
                  <c:v>58.5</c:v>
                </c:pt>
                <c:pt idx="26">
                  <c:v>57.17</c:v>
                </c:pt>
                <c:pt idx="27">
                  <c:v>56.55</c:v>
                </c:pt>
                <c:pt idx="28">
                  <c:v>57.04</c:v>
                </c:pt>
                <c:pt idx="29">
                  <c:v>55.23</c:v>
                </c:pt>
                <c:pt idx="30">
                  <c:v>55.24</c:v>
                </c:pt>
                <c:pt idx="31">
                  <c:v>56.03</c:v>
                </c:pt>
                <c:pt idx="32">
                  <c:v>55.55</c:v>
                </c:pt>
                <c:pt idx="33">
                  <c:v>55.96</c:v>
                </c:pt>
                <c:pt idx="34">
                  <c:v>55.8</c:v>
                </c:pt>
                <c:pt idx="35">
                  <c:v>56.44</c:v>
                </c:pt>
                <c:pt idx="36">
                  <c:v>56.36</c:v>
                </c:pt>
                <c:pt idx="37">
                  <c:v>56.51</c:v>
                </c:pt>
                <c:pt idx="38">
                  <c:v>56.98</c:v>
                </c:pt>
                <c:pt idx="39">
                  <c:v>56.75</c:v>
                </c:pt>
                <c:pt idx="40">
                  <c:v>56.55</c:v>
                </c:pt>
                <c:pt idx="41">
                  <c:v>56.73</c:v>
                </c:pt>
                <c:pt idx="42">
                  <c:v>56.76</c:v>
                </c:pt>
                <c:pt idx="43">
                  <c:v>56.68</c:v>
                </c:pt>
                <c:pt idx="44">
                  <c:v>56.2</c:v>
                </c:pt>
                <c:pt idx="45">
                  <c:v>56.69</c:v>
                </c:pt>
                <c:pt idx="46">
                  <c:v>56.56</c:v>
                </c:pt>
                <c:pt idx="47">
                  <c:v>56.37</c:v>
                </c:pt>
                <c:pt idx="48">
                  <c:v>56.66</c:v>
                </c:pt>
                <c:pt idx="49">
                  <c:v>56.3</c:v>
                </c:pt>
                <c:pt idx="50">
                  <c:v>53.16</c:v>
                </c:pt>
                <c:pt idx="51">
                  <c:v>52.62</c:v>
                </c:pt>
                <c:pt idx="52">
                  <c:v>51.01</c:v>
                </c:pt>
                <c:pt idx="53">
                  <c:v>50.21</c:v>
                </c:pt>
                <c:pt idx="54">
                  <c:v>50.57</c:v>
                </c:pt>
                <c:pt idx="55">
                  <c:v>50.8</c:v>
                </c:pt>
                <c:pt idx="56">
                  <c:v>50.91</c:v>
                </c:pt>
                <c:pt idx="57">
                  <c:v>51</c:v>
                </c:pt>
                <c:pt idx="58">
                  <c:v>51.96</c:v>
                </c:pt>
                <c:pt idx="59">
                  <c:v>49.29</c:v>
                </c:pt>
                <c:pt idx="60">
                  <c:v>49.55</c:v>
                </c:pt>
                <c:pt idx="61">
                  <c:v>49.23</c:v>
                </c:pt>
                <c:pt idx="62">
                  <c:v>50.02</c:v>
                </c:pt>
                <c:pt idx="63">
                  <c:v>50.36</c:v>
                </c:pt>
                <c:pt idx="64">
                  <c:v>49.87</c:v>
                </c:pt>
                <c:pt idx="65">
                  <c:v>50.05</c:v>
                </c:pt>
                <c:pt idx="66">
                  <c:v>49.34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10208"/>
        <c:axId val="631810600"/>
      </c:lineChart>
      <c:dateAx>
        <c:axId val="63181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10600"/>
        <c:crosses val="autoZero"/>
        <c:auto val="1"/>
        <c:lblOffset val="100"/>
        <c:baseTimeUnit val="days"/>
      </c:dateAx>
      <c:valAx>
        <c:axId val="6318106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1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68.98</c:v>
                </c:pt>
                <c:pt idx="2">
                  <c:v>69.599999999999994</c:v>
                </c:pt>
                <c:pt idx="3">
                  <c:v>69.790000000000006</c:v>
                </c:pt>
                <c:pt idx="4">
                  <c:v>70.02</c:v>
                </c:pt>
                <c:pt idx="5">
                  <c:v>69.930000000000007</c:v>
                </c:pt>
                <c:pt idx="6">
                  <c:v>70.12</c:v>
                </c:pt>
                <c:pt idx="7">
                  <c:v>70.28</c:v>
                </c:pt>
                <c:pt idx="8">
                  <c:v>70</c:v>
                </c:pt>
                <c:pt idx="9">
                  <c:v>69.790000000000006</c:v>
                </c:pt>
                <c:pt idx="10">
                  <c:v>69.55</c:v>
                </c:pt>
                <c:pt idx="11">
                  <c:v>68.33</c:v>
                </c:pt>
                <c:pt idx="12">
                  <c:v>67.569999999999993</c:v>
                </c:pt>
                <c:pt idx="13">
                  <c:v>66.680000000000007</c:v>
                </c:pt>
                <c:pt idx="14">
                  <c:v>67.040000000000006</c:v>
                </c:pt>
                <c:pt idx="15">
                  <c:v>67.27</c:v>
                </c:pt>
                <c:pt idx="16">
                  <c:v>68.09</c:v>
                </c:pt>
                <c:pt idx="17">
                  <c:v>67.63</c:v>
                </c:pt>
                <c:pt idx="18">
                  <c:v>67.37</c:v>
                </c:pt>
                <c:pt idx="19">
                  <c:v>67.87</c:v>
                </c:pt>
                <c:pt idx="20">
                  <c:v>68.7</c:v>
                </c:pt>
                <c:pt idx="21">
                  <c:v>67.760000000000005</c:v>
                </c:pt>
                <c:pt idx="22">
                  <c:v>67.19</c:v>
                </c:pt>
                <c:pt idx="23">
                  <c:v>67.58</c:v>
                </c:pt>
                <c:pt idx="24">
                  <c:v>66.989999999999995</c:v>
                </c:pt>
                <c:pt idx="25">
                  <c:v>65.14</c:v>
                </c:pt>
                <c:pt idx="26">
                  <c:v>64.25</c:v>
                </c:pt>
                <c:pt idx="27">
                  <c:v>64.94</c:v>
                </c:pt>
                <c:pt idx="28">
                  <c:v>66.31</c:v>
                </c:pt>
                <c:pt idx="29">
                  <c:v>66.150000000000006</c:v>
                </c:pt>
                <c:pt idx="30">
                  <c:v>64.930000000000007</c:v>
                </c:pt>
                <c:pt idx="31">
                  <c:v>64.31</c:v>
                </c:pt>
                <c:pt idx="32">
                  <c:v>63.87</c:v>
                </c:pt>
                <c:pt idx="33">
                  <c:v>63.51</c:v>
                </c:pt>
                <c:pt idx="34">
                  <c:v>66.7</c:v>
                </c:pt>
                <c:pt idx="35">
                  <c:v>67.28</c:v>
                </c:pt>
                <c:pt idx="36">
                  <c:v>66.17</c:v>
                </c:pt>
                <c:pt idx="37">
                  <c:v>66.95</c:v>
                </c:pt>
                <c:pt idx="38">
                  <c:v>66.48</c:v>
                </c:pt>
                <c:pt idx="39">
                  <c:v>66.819999999999993</c:v>
                </c:pt>
                <c:pt idx="40">
                  <c:v>66.900000000000006</c:v>
                </c:pt>
                <c:pt idx="41">
                  <c:v>66.44</c:v>
                </c:pt>
                <c:pt idx="42">
                  <c:v>66.599999999999994</c:v>
                </c:pt>
                <c:pt idx="43">
                  <c:v>65.900000000000006</c:v>
                </c:pt>
                <c:pt idx="44">
                  <c:v>65.47</c:v>
                </c:pt>
                <c:pt idx="45">
                  <c:v>65.44</c:v>
                </c:pt>
                <c:pt idx="46">
                  <c:v>65.45</c:v>
                </c:pt>
                <c:pt idx="47">
                  <c:v>66.22</c:v>
                </c:pt>
                <c:pt idx="48">
                  <c:v>66.53</c:v>
                </c:pt>
                <c:pt idx="49">
                  <c:v>66.37</c:v>
                </c:pt>
                <c:pt idx="50">
                  <c:v>66.52</c:v>
                </c:pt>
                <c:pt idx="51">
                  <c:v>65.81</c:v>
                </c:pt>
                <c:pt idx="52">
                  <c:v>66.52</c:v>
                </c:pt>
                <c:pt idx="53">
                  <c:v>67.31</c:v>
                </c:pt>
                <c:pt idx="54">
                  <c:v>68.099999999999994</c:v>
                </c:pt>
                <c:pt idx="55">
                  <c:v>69.47</c:v>
                </c:pt>
                <c:pt idx="56">
                  <c:v>69.91</c:v>
                </c:pt>
                <c:pt idx="57">
                  <c:v>68.81</c:v>
                </c:pt>
                <c:pt idx="58">
                  <c:v>67.7</c:v>
                </c:pt>
                <c:pt idx="59">
                  <c:v>59.07</c:v>
                </c:pt>
                <c:pt idx="60">
                  <c:v>58.84</c:v>
                </c:pt>
                <c:pt idx="61">
                  <c:v>57.67</c:v>
                </c:pt>
                <c:pt idx="62">
                  <c:v>56.73</c:v>
                </c:pt>
                <c:pt idx="63">
                  <c:v>56.62</c:v>
                </c:pt>
                <c:pt idx="64">
                  <c:v>55.92</c:v>
                </c:pt>
                <c:pt idx="65">
                  <c:v>54.94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12560"/>
        <c:axId val="631812952"/>
      </c:lineChart>
      <c:dateAx>
        <c:axId val="63181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12952"/>
        <c:crosses val="autoZero"/>
        <c:auto val="1"/>
        <c:lblOffset val="100"/>
        <c:baseTimeUnit val="days"/>
      </c:dateAx>
      <c:valAx>
        <c:axId val="631812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81.56</c:v>
                </c:pt>
                <c:pt idx="2">
                  <c:v>83.2</c:v>
                </c:pt>
                <c:pt idx="3">
                  <c:v>83.54</c:v>
                </c:pt>
                <c:pt idx="4">
                  <c:v>83.92</c:v>
                </c:pt>
                <c:pt idx="5">
                  <c:v>81.98</c:v>
                </c:pt>
                <c:pt idx="6">
                  <c:v>82.6</c:v>
                </c:pt>
                <c:pt idx="7">
                  <c:v>82.77</c:v>
                </c:pt>
                <c:pt idx="8">
                  <c:v>82.67</c:v>
                </c:pt>
                <c:pt idx="9">
                  <c:v>81.7</c:v>
                </c:pt>
                <c:pt idx="10">
                  <c:v>82.2</c:v>
                </c:pt>
                <c:pt idx="11">
                  <c:v>81.42</c:v>
                </c:pt>
                <c:pt idx="12">
                  <c:v>79.75</c:v>
                </c:pt>
                <c:pt idx="13">
                  <c:v>80.349999999999994</c:v>
                </c:pt>
                <c:pt idx="14">
                  <c:v>78.91</c:v>
                </c:pt>
                <c:pt idx="15">
                  <c:v>79</c:v>
                </c:pt>
                <c:pt idx="16">
                  <c:v>79.040000000000006</c:v>
                </c:pt>
                <c:pt idx="17">
                  <c:v>79.290000000000006</c:v>
                </c:pt>
                <c:pt idx="18">
                  <c:v>79.14</c:v>
                </c:pt>
                <c:pt idx="19">
                  <c:v>78.790000000000006</c:v>
                </c:pt>
                <c:pt idx="20">
                  <c:v>79.849999999999994</c:v>
                </c:pt>
                <c:pt idx="21">
                  <c:v>79.84</c:v>
                </c:pt>
                <c:pt idx="22">
                  <c:v>79.930000000000007</c:v>
                </c:pt>
                <c:pt idx="23">
                  <c:v>79.56</c:v>
                </c:pt>
                <c:pt idx="24">
                  <c:v>78.290000000000006</c:v>
                </c:pt>
                <c:pt idx="25">
                  <c:v>78.959999999999994</c:v>
                </c:pt>
                <c:pt idx="26">
                  <c:v>80.150000000000006</c:v>
                </c:pt>
                <c:pt idx="27">
                  <c:v>79.73</c:v>
                </c:pt>
                <c:pt idx="28">
                  <c:v>80.13</c:v>
                </c:pt>
                <c:pt idx="29">
                  <c:v>78.11</c:v>
                </c:pt>
                <c:pt idx="30">
                  <c:v>80.53</c:v>
                </c:pt>
                <c:pt idx="31">
                  <c:v>79.42</c:v>
                </c:pt>
                <c:pt idx="32">
                  <c:v>77.989999999999995</c:v>
                </c:pt>
                <c:pt idx="33">
                  <c:v>77.62</c:v>
                </c:pt>
                <c:pt idx="34">
                  <c:v>76.760000000000005</c:v>
                </c:pt>
                <c:pt idx="35">
                  <c:v>76.89</c:v>
                </c:pt>
                <c:pt idx="36">
                  <c:v>75.88</c:v>
                </c:pt>
                <c:pt idx="37">
                  <c:v>74.78</c:v>
                </c:pt>
                <c:pt idx="38">
                  <c:v>74.06</c:v>
                </c:pt>
                <c:pt idx="39">
                  <c:v>73.67</c:v>
                </c:pt>
                <c:pt idx="40">
                  <c:v>73.59</c:v>
                </c:pt>
                <c:pt idx="41">
                  <c:v>74.2</c:v>
                </c:pt>
                <c:pt idx="42">
                  <c:v>74.040000000000006</c:v>
                </c:pt>
                <c:pt idx="43">
                  <c:v>74.27</c:v>
                </c:pt>
                <c:pt idx="44">
                  <c:v>74.56</c:v>
                </c:pt>
                <c:pt idx="45">
                  <c:v>75.040000000000006</c:v>
                </c:pt>
                <c:pt idx="46">
                  <c:v>76</c:v>
                </c:pt>
                <c:pt idx="47">
                  <c:v>75.09</c:v>
                </c:pt>
                <c:pt idx="48">
                  <c:v>77.28</c:v>
                </c:pt>
                <c:pt idx="49">
                  <c:v>76.56</c:v>
                </c:pt>
                <c:pt idx="50">
                  <c:v>73.53</c:v>
                </c:pt>
                <c:pt idx="51">
                  <c:v>83.39</c:v>
                </c:pt>
                <c:pt idx="52">
                  <c:v>82.31</c:v>
                </c:pt>
                <c:pt idx="53">
                  <c:v>81.569999999999993</c:v>
                </c:pt>
                <c:pt idx="54">
                  <c:v>83.95</c:v>
                </c:pt>
                <c:pt idx="55">
                  <c:v>83.45</c:v>
                </c:pt>
                <c:pt idx="56">
                  <c:v>84.1</c:v>
                </c:pt>
                <c:pt idx="57">
                  <c:v>83.36</c:v>
                </c:pt>
                <c:pt idx="58">
                  <c:v>87.19</c:v>
                </c:pt>
                <c:pt idx="59">
                  <c:v>87.57</c:v>
                </c:pt>
                <c:pt idx="60">
                  <c:v>87.41</c:v>
                </c:pt>
                <c:pt idx="61">
                  <c:v>88</c:v>
                </c:pt>
                <c:pt idx="62">
                  <c:v>87.41</c:v>
                </c:pt>
                <c:pt idx="63">
                  <c:v>87.3</c:v>
                </c:pt>
                <c:pt idx="65">
                  <c:v>86.4</c:v>
                </c:pt>
                <c:pt idx="66">
                  <c:v>87.19</c:v>
                </c:pt>
                <c:pt idx="67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988976"/>
        <c:axId val="632989368"/>
      </c:lineChart>
      <c:dateAx>
        <c:axId val="63298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89368"/>
        <c:crosses val="autoZero"/>
        <c:auto val="1"/>
        <c:lblOffset val="100"/>
        <c:baseTimeUnit val="days"/>
      </c:dateAx>
      <c:valAx>
        <c:axId val="632989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8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17.61</c:v>
                </c:pt>
                <c:pt idx="1">
                  <c:v>17.27</c:v>
                </c:pt>
                <c:pt idx="2">
                  <c:v>17.329999999999998</c:v>
                </c:pt>
                <c:pt idx="3">
                  <c:v>17.440000000000001</c:v>
                </c:pt>
                <c:pt idx="4">
                  <c:v>17.45</c:v>
                </c:pt>
                <c:pt idx="5">
                  <c:v>17.440000000000001</c:v>
                </c:pt>
                <c:pt idx="6">
                  <c:v>17.690000000000001</c:v>
                </c:pt>
                <c:pt idx="7">
                  <c:v>17.48</c:v>
                </c:pt>
                <c:pt idx="8">
                  <c:v>17.399999999999999</c:v>
                </c:pt>
                <c:pt idx="9">
                  <c:v>17.88</c:v>
                </c:pt>
                <c:pt idx="10">
                  <c:v>18.18</c:v>
                </c:pt>
                <c:pt idx="11">
                  <c:v>18.05</c:v>
                </c:pt>
                <c:pt idx="12">
                  <c:v>17.760000000000002</c:v>
                </c:pt>
                <c:pt idx="13">
                  <c:v>17.309999999999999</c:v>
                </c:pt>
                <c:pt idx="14">
                  <c:v>17.57</c:v>
                </c:pt>
                <c:pt idx="15">
                  <c:v>17.850000000000001</c:v>
                </c:pt>
                <c:pt idx="16">
                  <c:v>18.14</c:v>
                </c:pt>
                <c:pt idx="17">
                  <c:v>18.059999999999999</c:v>
                </c:pt>
                <c:pt idx="18">
                  <c:v>18.04</c:v>
                </c:pt>
                <c:pt idx="19">
                  <c:v>18.079999999999998</c:v>
                </c:pt>
                <c:pt idx="20">
                  <c:v>18.309999999999999</c:v>
                </c:pt>
                <c:pt idx="21">
                  <c:v>18.510000000000002</c:v>
                </c:pt>
                <c:pt idx="22">
                  <c:v>18.59</c:v>
                </c:pt>
                <c:pt idx="23">
                  <c:v>18.239999999999998</c:v>
                </c:pt>
                <c:pt idx="24">
                  <c:v>18.2</c:v>
                </c:pt>
                <c:pt idx="25">
                  <c:v>18.8</c:v>
                </c:pt>
                <c:pt idx="26">
                  <c:v>18.489999999999998</c:v>
                </c:pt>
                <c:pt idx="27">
                  <c:v>18.25</c:v>
                </c:pt>
                <c:pt idx="28">
                  <c:v>18.38</c:v>
                </c:pt>
                <c:pt idx="29">
                  <c:v>18.420000000000002</c:v>
                </c:pt>
                <c:pt idx="30">
                  <c:v>18.350000000000001</c:v>
                </c:pt>
                <c:pt idx="31">
                  <c:v>18.39</c:v>
                </c:pt>
                <c:pt idx="32">
                  <c:v>18.2</c:v>
                </c:pt>
                <c:pt idx="33">
                  <c:v>17.89</c:v>
                </c:pt>
                <c:pt idx="34">
                  <c:v>18.059999999999999</c:v>
                </c:pt>
                <c:pt idx="35">
                  <c:v>14.95</c:v>
                </c:pt>
                <c:pt idx="36">
                  <c:v>15.54</c:v>
                </c:pt>
                <c:pt idx="37">
                  <c:v>16.28</c:v>
                </c:pt>
                <c:pt idx="38">
                  <c:v>16.78</c:v>
                </c:pt>
                <c:pt idx="39">
                  <c:v>16.55</c:v>
                </c:pt>
                <c:pt idx="40">
                  <c:v>16.48</c:v>
                </c:pt>
                <c:pt idx="41">
                  <c:v>15.62</c:v>
                </c:pt>
                <c:pt idx="42">
                  <c:v>15.46</c:v>
                </c:pt>
                <c:pt idx="43">
                  <c:v>15.56</c:v>
                </c:pt>
                <c:pt idx="44">
                  <c:v>15.7</c:v>
                </c:pt>
                <c:pt idx="45">
                  <c:v>14.93</c:v>
                </c:pt>
                <c:pt idx="47">
                  <c:v>14.89</c:v>
                </c:pt>
                <c:pt idx="48">
                  <c:v>15.14</c:v>
                </c:pt>
                <c:pt idx="49">
                  <c:v>14.88</c:v>
                </c:pt>
                <c:pt idx="50">
                  <c:v>14.25</c:v>
                </c:pt>
                <c:pt idx="51">
                  <c:v>14.15</c:v>
                </c:pt>
                <c:pt idx="52">
                  <c:v>13.69</c:v>
                </c:pt>
                <c:pt idx="53">
                  <c:v>14.15</c:v>
                </c:pt>
                <c:pt idx="54">
                  <c:v>12.78</c:v>
                </c:pt>
                <c:pt idx="55">
                  <c:v>13.27</c:v>
                </c:pt>
                <c:pt idx="56">
                  <c:v>13.18</c:v>
                </c:pt>
                <c:pt idx="57">
                  <c:v>13.72</c:v>
                </c:pt>
                <c:pt idx="58">
                  <c:v>13.95</c:v>
                </c:pt>
                <c:pt idx="59">
                  <c:v>14.25</c:v>
                </c:pt>
                <c:pt idx="60">
                  <c:v>14.18</c:v>
                </c:pt>
                <c:pt idx="61">
                  <c:v>14.59</c:v>
                </c:pt>
                <c:pt idx="62">
                  <c:v>14.64</c:v>
                </c:pt>
                <c:pt idx="63">
                  <c:v>14.7</c:v>
                </c:pt>
                <c:pt idx="64">
                  <c:v>14.65</c:v>
                </c:pt>
                <c:pt idx="65">
                  <c:v>14.2</c:v>
                </c:pt>
                <c:pt idx="66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991328"/>
        <c:axId val="632991720"/>
      </c:lineChart>
      <c:dateAx>
        <c:axId val="6329913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1720"/>
        <c:crosses val="autoZero"/>
        <c:auto val="1"/>
        <c:lblOffset val="100"/>
        <c:baseTimeUnit val="days"/>
      </c:dateAx>
      <c:valAx>
        <c:axId val="6329917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34.090000000000003</c:v>
                </c:pt>
                <c:pt idx="1">
                  <c:v>34.26</c:v>
                </c:pt>
                <c:pt idx="2">
                  <c:v>34.909999999999997</c:v>
                </c:pt>
                <c:pt idx="3">
                  <c:v>34.840000000000003</c:v>
                </c:pt>
                <c:pt idx="4">
                  <c:v>34.1</c:v>
                </c:pt>
                <c:pt idx="5">
                  <c:v>33.520000000000003</c:v>
                </c:pt>
                <c:pt idx="6">
                  <c:v>33.07</c:v>
                </c:pt>
                <c:pt idx="7">
                  <c:v>33.19</c:v>
                </c:pt>
                <c:pt idx="8">
                  <c:v>32.92</c:v>
                </c:pt>
                <c:pt idx="9">
                  <c:v>33.11</c:v>
                </c:pt>
                <c:pt idx="10">
                  <c:v>33.21</c:v>
                </c:pt>
                <c:pt idx="11">
                  <c:v>33.24</c:v>
                </c:pt>
                <c:pt idx="12">
                  <c:v>33.72</c:v>
                </c:pt>
                <c:pt idx="13">
                  <c:v>34.51</c:v>
                </c:pt>
                <c:pt idx="14">
                  <c:v>34.590000000000003</c:v>
                </c:pt>
                <c:pt idx="15">
                  <c:v>34.68</c:v>
                </c:pt>
                <c:pt idx="16">
                  <c:v>35.17</c:v>
                </c:pt>
                <c:pt idx="17">
                  <c:v>35.08</c:v>
                </c:pt>
                <c:pt idx="18">
                  <c:v>34.979999999999997</c:v>
                </c:pt>
                <c:pt idx="19">
                  <c:v>35.21</c:v>
                </c:pt>
                <c:pt idx="20">
                  <c:v>35.49</c:v>
                </c:pt>
                <c:pt idx="21">
                  <c:v>35.880000000000003</c:v>
                </c:pt>
                <c:pt idx="22">
                  <c:v>35.94</c:v>
                </c:pt>
                <c:pt idx="23">
                  <c:v>35.96</c:v>
                </c:pt>
                <c:pt idx="24">
                  <c:v>34.72</c:v>
                </c:pt>
                <c:pt idx="25">
                  <c:v>34.42</c:v>
                </c:pt>
                <c:pt idx="26">
                  <c:v>34.22</c:v>
                </c:pt>
                <c:pt idx="27">
                  <c:v>34.78</c:v>
                </c:pt>
                <c:pt idx="28">
                  <c:v>34.19</c:v>
                </c:pt>
                <c:pt idx="29">
                  <c:v>33.630000000000003</c:v>
                </c:pt>
                <c:pt idx="30">
                  <c:v>33.07</c:v>
                </c:pt>
                <c:pt idx="31">
                  <c:v>32.93</c:v>
                </c:pt>
                <c:pt idx="32">
                  <c:v>33.299999999999997</c:v>
                </c:pt>
                <c:pt idx="33">
                  <c:v>33.36</c:v>
                </c:pt>
                <c:pt idx="34">
                  <c:v>32.299999999999997</c:v>
                </c:pt>
                <c:pt idx="35">
                  <c:v>33.1</c:v>
                </c:pt>
                <c:pt idx="36">
                  <c:v>33.659999999999997</c:v>
                </c:pt>
                <c:pt idx="37">
                  <c:v>33.880000000000003</c:v>
                </c:pt>
                <c:pt idx="38">
                  <c:v>33.700000000000003</c:v>
                </c:pt>
                <c:pt idx="39">
                  <c:v>33.47</c:v>
                </c:pt>
                <c:pt idx="40">
                  <c:v>33.53</c:v>
                </c:pt>
                <c:pt idx="41">
                  <c:v>33.450000000000003</c:v>
                </c:pt>
                <c:pt idx="42">
                  <c:v>33.520000000000003</c:v>
                </c:pt>
                <c:pt idx="43">
                  <c:v>33.700000000000003</c:v>
                </c:pt>
                <c:pt idx="44">
                  <c:v>34.86</c:v>
                </c:pt>
                <c:pt idx="45">
                  <c:v>34.64</c:v>
                </c:pt>
                <c:pt idx="46">
                  <c:v>33.520000000000003</c:v>
                </c:pt>
                <c:pt idx="47">
                  <c:v>32.869999999999997</c:v>
                </c:pt>
                <c:pt idx="49">
                  <c:v>32.29</c:v>
                </c:pt>
                <c:pt idx="50">
                  <c:v>30.9</c:v>
                </c:pt>
                <c:pt idx="51">
                  <c:v>31.24</c:v>
                </c:pt>
                <c:pt idx="52">
                  <c:v>30.92</c:v>
                </c:pt>
                <c:pt idx="53">
                  <c:v>31.02</c:v>
                </c:pt>
                <c:pt idx="54">
                  <c:v>32.22</c:v>
                </c:pt>
                <c:pt idx="55">
                  <c:v>30.79</c:v>
                </c:pt>
                <c:pt idx="56">
                  <c:v>30.98</c:v>
                </c:pt>
                <c:pt idx="57">
                  <c:v>31.26</c:v>
                </c:pt>
                <c:pt idx="58">
                  <c:v>31.02</c:v>
                </c:pt>
                <c:pt idx="59">
                  <c:v>30.9</c:v>
                </c:pt>
                <c:pt idx="60">
                  <c:v>30.91</c:v>
                </c:pt>
                <c:pt idx="61">
                  <c:v>31.18</c:v>
                </c:pt>
                <c:pt idx="62">
                  <c:v>30.76</c:v>
                </c:pt>
                <c:pt idx="63">
                  <c:v>30.92</c:v>
                </c:pt>
                <c:pt idx="64">
                  <c:v>31.01</c:v>
                </c:pt>
                <c:pt idx="65">
                  <c:v>30.64</c:v>
                </c:pt>
                <c:pt idx="66">
                  <c:v>30.83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993680"/>
        <c:axId val="632994072"/>
      </c:lineChart>
      <c:dateAx>
        <c:axId val="632993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4072"/>
        <c:crosses val="autoZero"/>
        <c:auto val="1"/>
        <c:lblOffset val="100"/>
        <c:baseTimeUnit val="days"/>
      </c:dateAx>
      <c:valAx>
        <c:axId val="632994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  <c:pt idx="66">
                  <c:v>42661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12.43</c:v>
                </c:pt>
                <c:pt idx="2">
                  <c:v>12.41</c:v>
                </c:pt>
                <c:pt idx="4">
                  <c:v>12.61</c:v>
                </c:pt>
                <c:pt idx="5">
                  <c:v>12.63</c:v>
                </c:pt>
                <c:pt idx="6">
                  <c:v>12.59</c:v>
                </c:pt>
                <c:pt idx="7">
                  <c:v>12.67</c:v>
                </c:pt>
                <c:pt idx="8">
                  <c:v>12.85</c:v>
                </c:pt>
                <c:pt idx="9">
                  <c:v>12.63</c:v>
                </c:pt>
                <c:pt idx="10">
                  <c:v>12.76</c:v>
                </c:pt>
                <c:pt idx="11">
                  <c:v>12.77</c:v>
                </c:pt>
                <c:pt idx="12">
                  <c:v>13.17</c:v>
                </c:pt>
                <c:pt idx="13">
                  <c:v>12.59</c:v>
                </c:pt>
                <c:pt idx="14">
                  <c:v>12.13</c:v>
                </c:pt>
                <c:pt idx="15">
                  <c:v>12.23</c:v>
                </c:pt>
                <c:pt idx="16">
                  <c:v>12.25</c:v>
                </c:pt>
                <c:pt idx="17">
                  <c:v>12.39</c:v>
                </c:pt>
                <c:pt idx="18">
                  <c:v>12.46</c:v>
                </c:pt>
                <c:pt idx="19">
                  <c:v>12.4</c:v>
                </c:pt>
                <c:pt idx="20">
                  <c:v>12.64</c:v>
                </c:pt>
                <c:pt idx="21">
                  <c:v>12.78</c:v>
                </c:pt>
                <c:pt idx="22">
                  <c:v>12.66</c:v>
                </c:pt>
                <c:pt idx="23">
                  <c:v>12.63</c:v>
                </c:pt>
                <c:pt idx="24">
                  <c:v>12.58</c:v>
                </c:pt>
                <c:pt idx="25">
                  <c:v>12.53</c:v>
                </c:pt>
                <c:pt idx="26">
                  <c:v>12.77</c:v>
                </c:pt>
                <c:pt idx="27">
                  <c:v>12.82</c:v>
                </c:pt>
                <c:pt idx="28">
                  <c:v>13.17</c:v>
                </c:pt>
                <c:pt idx="29">
                  <c:v>13.03</c:v>
                </c:pt>
                <c:pt idx="30">
                  <c:v>13.06</c:v>
                </c:pt>
                <c:pt idx="31">
                  <c:v>12.56</c:v>
                </c:pt>
                <c:pt idx="32">
                  <c:v>12.44</c:v>
                </c:pt>
                <c:pt idx="33">
                  <c:v>12.24</c:v>
                </c:pt>
                <c:pt idx="34">
                  <c:v>12.43</c:v>
                </c:pt>
                <c:pt idx="35">
                  <c:v>11.96</c:v>
                </c:pt>
                <c:pt idx="36">
                  <c:v>11.92</c:v>
                </c:pt>
                <c:pt idx="37">
                  <c:v>11.92</c:v>
                </c:pt>
                <c:pt idx="38">
                  <c:v>12.04</c:v>
                </c:pt>
                <c:pt idx="39">
                  <c:v>11.9</c:v>
                </c:pt>
                <c:pt idx="40">
                  <c:v>11.89</c:v>
                </c:pt>
                <c:pt idx="41">
                  <c:v>11.79</c:v>
                </c:pt>
                <c:pt idx="42">
                  <c:v>11.76</c:v>
                </c:pt>
                <c:pt idx="43">
                  <c:v>11.87</c:v>
                </c:pt>
                <c:pt idx="44">
                  <c:v>12</c:v>
                </c:pt>
                <c:pt idx="45">
                  <c:v>12.04</c:v>
                </c:pt>
                <c:pt idx="46">
                  <c:v>12.06</c:v>
                </c:pt>
                <c:pt idx="47">
                  <c:v>12.28</c:v>
                </c:pt>
                <c:pt idx="48">
                  <c:v>11.94</c:v>
                </c:pt>
                <c:pt idx="49">
                  <c:v>11.58</c:v>
                </c:pt>
                <c:pt idx="50">
                  <c:v>11.48</c:v>
                </c:pt>
                <c:pt idx="51">
                  <c:v>11.58</c:v>
                </c:pt>
                <c:pt idx="52">
                  <c:v>11.34</c:v>
                </c:pt>
                <c:pt idx="53">
                  <c:v>11.35</c:v>
                </c:pt>
                <c:pt idx="54">
                  <c:v>11.4</c:v>
                </c:pt>
                <c:pt idx="55">
                  <c:v>11.61</c:v>
                </c:pt>
                <c:pt idx="56">
                  <c:v>11.74</c:v>
                </c:pt>
                <c:pt idx="57">
                  <c:v>11.72</c:v>
                </c:pt>
                <c:pt idx="58">
                  <c:v>11.74</c:v>
                </c:pt>
                <c:pt idx="59">
                  <c:v>11.88</c:v>
                </c:pt>
                <c:pt idx="60">
                  <c:v>11.85</c:v>
                </c:pt>
                <c:pt idx="62">
                  <c:v>12.19</c:v>
                </c:pt>
                <c:pt idx="63">
                  <c:v>12.02</c:v>
                </c:pt>
                <c:pt idx="64">
                  <c:v>11.97</c:v>
                </c:pt>
                <c:pt idx="65">
                  <c:v>12.01</c:v>
                </c:pt>
                <c:pt idx="66">
                  <c:v>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995640"/>
        <c:axId val="632996032"/>
      </c:lineChart>
      <c:dateAx>
        <c:axId val="63299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6032"/>
        <c:crosses val="autoZero"/>
        <c:auto val="1"/>
        <c:lblOffset val="100"/>
        <c:baseTimeUnit val="days"/>
      </c:dateAx>
      <c:valAx>
        <c:axId val="63299603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114.15</c:v>
                </c:pt>
                <c:pt idx="1">
                  <c:v>114.2</c:v>
                </c:pt>
                <c:pt idx="2">
                  <c:v>114.7</c:v>
                </c:pt>
                <c:pt idx="3">
                  <c:v>114.87</c:v>
                </c:pt>
                <c:pt idx="4">
                  <c:v>114.6</c:v>
                </c:pt>
                <c:pt idx="5">
                  <c:v>114.62</c:v>
                </c:pt>
                <c:pt idx="6">
                  <c:v>114.73</c:v>
                </c:pt>
                <c:pt idx="7">
                  <c:v>116.16</c:v>
                </c:pt>
                <c:pt idx="8">
                  <c:v>116.28</c:v>
                </c:pt>
                <c:pt idx="9">
                  <c:v>116.3</c:v>
                </c:pt>
                <c:pt idx="10">
                  <c:v>116.86</c:v>
                </c:pt>
                <c:pt idx="11">
                  <c:v>115.65</c:v>
                </c:pt>
                <c:pt idx="12">
                  <c:v>115.84</c:v>
                </c:pt>
                <c:pt idx="13">
                  <c:v>115.21</c:v>
                </c:pt>
                <c:pt idx="14">
                  <c:v>115.49</c:v>
                </c:pt>
                <c:pt idx="15">
                  <c:v>115.1</c:v>
                </c:pt>
                <c:pt idx="16">
                  <c:v>115.91</c:v>
                </c:pt>
                <c:pt idx="17">
                  <c:v>115.96</c:v>
                </c:pt>
                <c:pt idx="18">
                  <c:v>115.44</c:v>
                </c:pt>
                <c:pt idx="19">
                  <c:v>115.31</c:v>
                </c:pt>
                <c:pt idx="20">
                  <c:v>115.66</c:v>
                </c:pt>
                <c:pt idx="21">
                  <c:v>116.02</c:v>
                </c:pt>
                <c:pt idx="22">
                  <c:v>115.88</c:v>
                </c:pt>
                <c:pt idx="23">
                  <c:v>115.89</c:v>
                </c:pt>
                <c:pt idx="24">
                  <c:v>114.99</c:v>
                </c:pt>
                <c:pt idx="25">
                  <c:v>115.89</c:v>
                </c:pt>
                <c:pt idx="26">
                  <c:v>115.36</c:v>
                </c:pt>
                <c:pt idx="27">
                  <c:v>112.26</c:v>
                </c:pt>
                <c:pt idx="28">
                  <c:v>110.99</c:v>
                </c:pt>
                <c:pt idx="29">
                  <c:v>111.1</c:v>
                </c:pt>
                <c:pt idx="30">
                  <c:v>112.06</c:v>
                </c:pt>
                <c:pt idx="31">
                  <c:v>111.94</c:v>
                </c:pt>
                <c:pt idx="32">
                  <c:v>111.96</c:v>
                </c:pt>
                <c:pt idx="33">
                  <c:v>111.38</c:v>
                </c:pt>
                <c:pt idx="34">
                  <c:v>111.3</c:v>
                </c:pt>
                <c:pt idx="35">
                  <c:v>112.48</c:v>
                </c:pt>
                <c:pt idx="36">
                  <c:v>113.13</c:v>
                </c:pt>
                <c:pt idx="37">
                  <c:v>114.13</c:v>
                </c:pt>
                <c:pt idx="38">
                  <c:v>113.07</c:v>
                </c:pt>
                <c:pt idx="39">
                  <c:v>112.74</c:v>
                </c:pt>
                <c:pt idx="40">
                  <c:v>115</c:v>
                </c:pt>
                <c:pt idx="41">
                  <c:v>115.36</c:v>
                </c:pt>
                <c:pt idx="43">
                  <c:v>116.57</c:v>
                </c:pt>
                <c:pt idx="44">
                  <c:v>116.36</c:v>
                </c:pt>
                <c:pt idx="45">
                  <c:v>116.32</c:v>
                </c:pt>
                <c:pt idx="46">
                  <c:v>116.6</c:v>
                </c:pt>
                <c:pt idx="47">
                  <c:v>118.47</c:v>
                </c:pt>
                <c:pt idx="48">
                  <c:v>119.54</c:v>
                </c:pt>
                <c:pt idx="49">
                  <c:v>120.31</c:v>
                </c:pt>
                <c:pt idx="50">
                  <c:v>117.05</c:v>
                </c:pt>
                <c:pt idx="51">
                  <c:v>116.66</c:v>
                </c:pt>
                <c:pt idx="52">
                  <c:v>115.11</c:v>
                </c:pt>
                <c:pt idx="53">
                  <c:v>115.03</c:v>
                </c:pt>
                <c:pt idx="54">
                  <c:v>114.86</c:v>
                </c:pt>
                <c:pt idx="55">
                  <c:v>115.34</c:v>
                </c:pt>
                <c:pt idx="56">
                  <c:v>115.99</c:v>
                </c:pt>
                <c:pt idx="57">
                  <c:v>115.33</c:v>
                </c:pt>
                <c:pt idx="58">
                  <c:v>115.7</c:v>
                </c:pt>
                <c:pt idx="59">
                  <c:v>114.56</c:v>
                </c:pt>
                <c:pt idx="60">
                  <c:v>113.96</c:v>
                </c:pt>
                <c:pt idx="61">
                  <c:v>113.61</c:v>
                </c:pt>
                <c:pt idx="62">
                  <c:v>113.44</c:v>
                </c:pt>
                <c:pt idx="63">
                  <c:v>114.87</c:v>
                </c:pt>
                <c:pt idx="64">
                  <c:v>114.59</c:v>
                </c:pt>
                <c:pt idx="65">
                  <c:v>115.41</c:v>
                </c:pt>
                <c:pt idx="66">
                  <c:v>118.49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997992"/>
        <c:axId val="632998384"/>
      </c:lineChart>
      <c:dateAx>
        <c:axId val="63299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8384"/>
        <c:crosses val="autoZero"/>
        <c:auto val="1"/>
        <c:lblOffset val="100"/>
        <c:baseTimeUnit val="days"/>
      </c:dateAx>
      <c:valAx>
        <c:axId val="6329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12.07</c:v>
                </c:pt>
                <c:pt idx="1">
                  <c:v>12.19</c:v>
                </c:pt>
                <c:pt idx="2">
                  <c:v>12.2</c:v>
                </c:pt>
                <c:pt idx="3">
                  <c:v>12.41</c:v>
                </c:pt>
                <c:pt idx="4">
                  <c:v>12.23</c:v>
                </c:pt>
                <c:pt idx="5">
                  <c:v>12.13</c:v>
                </c:pt>
                <c:pt idx="6">
                  <c:v>12.12</c:v>
                </c:pt>
                <c:pt idx="7">
                  <c:v>11.85</c:v>
                </c:pt>
                <c:pt idx="8">
                  <c:v>11.83</c:v>
                </c:pt>
                <c:pt idx="9">
                  <c:v>12.07</c:v>
                </c:pt>
                <c:pt idx="10">
                  <c:v>11.66</c:v>
                </c:pt>
                <c:pt idx="11">
                  <c:v>11.7</c:v>
                </c:pt>
                <c:pt idx="12">
                  <c:v>11.45</c:v>
                </c:pt>
                <c:pt idx="13">
                  <c:v>11.43</c:v>
                </c:pt>
                <c:pt idx="14">
                  <c:v>11.64</c:v>
                </c:pt>
                <c:pt idx="15">
                  <c:v>11.46</c:v>
                </c:pt>
                <c:pt idx="16">
                  <c:v>11.71</c:v>
                </c:pt>
                <c:pt idx="17">
                  <c:v>11.64</c:v>
                </c:pt>
                <c:pt idx="18">
                  <c:v>11.54</c:v>
                </c:pt>
                <c:pt idx="19">
                  <c:v>11.51</c:v>
                </c:pt>
                <c:pt idx="20">
                  <c:v>11.47</c:v>
                </c:pt>
                <c:pt idx="21">
                  <c:v>11.67</c:v>
                </c:pt>
                <c:pt idx="22">
                  <c:v>11.56</c:v>
                </c:pt>
                <c:pt idx="23">
                  <c:v>11.5</c:v>
                </c:pt>
                <c:pt idx="24">
                  <c:v>11.36</c:v>
                </c:pt>
                <c:pt idx="25">
                  <c:v>11.56</c:v>
                </c:pt>
                <c:pt idx="26">
                  <c:v>11.43</c:v>
                </c:pt>
                <c:pt idx="27">
                  <c:v>11.66</c:v>
                </c:pt>
                <c:pt idx="28">
                  <c:v>11.28</c:v>
                </c:pt>
                <c:pt idx="29">
                  <c:v>11.06</c:v>
                </c:pt>
                <c:pt idx="30">
                  <c:v>11.1</c:v>
                </c:pt>
                <c:pt idx="31">
                  <c:v>10.83</c:v>
                </c:pt>
                <c:pt idx="32">
                  <c:v>10.5</c:v>
                </c:pt>
                <c:pt idx="33">
                  <c:v>10.41</c:v>
                </c:pt>
                <c:pt idx="34">
                  <c:v>11.15</c:v>
                </c:pt>
                <c:pt idx="35">
                  <c:v>11.53</c:v>
                </c:pt>
                <c:pt idx="36">
                  <c:v>11.92</c:v>
                </c:pt>
                <c:pt idx="37">
                  <c:v>11.72</c:v>
                </c:pt>
                <c:pt idx="38">
                  <c:v>11.61</c:v>
                </c:pt>
                <c:pt idx="39">
                  <c:v>11.48</c:v>
                </c:pt>
                <c:pt idx="40">
                  <c:v>11.75</c:v>
                </c:pt>
                <c:pt idx="41">
                  <c:v>11.63</c:v>
                </c:pt>
                <c:pt idx="42">
                  <c:v>11.85</c:v>
                </c:pt>
                <c:pt idx="43">
                  <c:v>11.6</c:v>
                </c:pt>
                <c:pt idx="44">
                  <c:v>11.77</c:v>
                </c:pt>
                <c:pt idx="45">
                  <c:v>11.58</c:v>
                </c:pt>
                <c:pt idx="46">
                  <c:v>11.24</c:v>
                </c:pt>
                <c:pt idx="47">
                  <c:v>11.2</c:v>
                </c:pt>
                <c:pt idx="48">
                  <c:v>11.74</c:v>
                </c:pt>
                <c:pt idx="49">
                  <c:v>11.46</c:v>
                </c:pt>
                <c:pt idx="50">
                  <c:v>11.47</c:v>
                </c:pt>
                <c:pt idx="51">
                  <c:v>11.14</c:v>
                </c:pt>
                <c:pt idx="52">
                  <c:v>11.1</c:v>
                </c:pt>
                <c:pt idx="53">
                  <c:v>10.89</c:v>
                </c:pt>
                <c:pt idx="54">
                  <c:v>11.8</c:v>
                </c:pt>
                <c:pt idx="55">
                  <c:v>11.9</c:v>
                </c:pt>
                <c:pt idx="56">
                  <c:v>11.76</c:v>
                </c:pt>
                <c:pt idx="57">
                  <c:v>11.93</c:v>
                </c:pt>
                <c:pt idx="58">
                  <c:v>11.9</c:v>
                </c:pt>
                <c:pt idx="59">
                  <c:v>12.16</c:v>
                </c:pt>
                <c:pt idx="60">
                  <c:v>12.42</c:v>
                </c:pt>
                <c:pt idx="61">
                  <c:v>12.66</c:v>
                </c:pt>
                <c:pt idx="62">
                  <c:v>12.98</c:v>
                </c:pt>
                <c:pt idx="63">
                  <c:v>13.07</c:v>
                </c:pt>
                <c:pt idx="64">
                  <c:v>12.83</c:v>
                </c:pt>
                <c:pt idx="65">
                  <c:v>12.63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000344"/>
        <c:axId val="633000736"/>
      </c:lineChart>
      <c:dateAx>
        <c:axId val="633000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000736"/>
        <c:crosses val="autoZero"/>
        <c:auto val="1"/>
        <c:lblOffset val="100"/>
        <c:baseTimeUnit val="days"/>
      </c:dateAx>
      <c:valAx>
        <c:axId val="6330007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00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95.51</c:v>
                </c:pt>
                <c:pt idx="1">
                  <c:v>96.29</c:v>
                </c:pt>
                <c:pt idx="2">
                  <c:v>95.79</c:v>
                </c:pt>
                <c:pt idx="3">
                  <c:v>96.88</c:v>
                </c:pt>
                <c:pt idx="4">
                  <c:v>97.13</c:v>
                </c:pt>
                <c:pt idx="5">
                  <c:v>97.59</c:v>
                </c:pt>
                <c:pt idx="6">
                  <c:v>98.65</c:v>
                </c:pt>
                <c:pt idx="7">
                  <c:v>99.14</c:v>
                </c:pt>
                <c:pt idx="8">
                  <c:v>97.95</c:v>
                </c:pt>
                <c:pt idx="9">
                  <c:v>97.07</c:v>
                </c:pt>
                <c:pt idx="10">
                  <c:v>97.19</c:v>
                </c:pt>
                <c:pt idx="11">
                  <c:v>96.54</c:v>
                </c:pt>
                <c:pt idx="12">
                  <c:v>95.52</c:v>
                </c:pt>
                <c:pt idx="13">
                  <c:v>93.7</c:v>
                </c:pt>
                <c:pt idx="14">
                  <c:v>93.71</c:v>
                </c:pt>
                <c:pt idx="15">
                  <c:v>92.71</c:v>
                </c:pt>
                <c:pt idx="16">
                  <c:v>93.35</c:v>
                </c:pt>
                <c:pt idx="17">
                  <c:v>93</c:v>
                </c:pt>
                <c:pt idx="18">
                  <c:v>91.8</c:v>
                </c:pt>
                <c:pt idx="19">
                  <c:v>91.43</c:v>
                </c:pt>
                <c:pt idx="20">
                  <c:v>90.87</c:v>
                </c:pt>
                <c:pt idx="21">
                  <c:v>91.48</c:v>
                </c:pt>
                <c:pt idx="22">
                  <c:v>91.39</c:v>
                </c:pt>
                <c:pt idx="23">
                  <c:v>90.48</c:v>
                </c:pt>
                <c:pt idx="24">
                  <c:v>89.82</c:v>
                </c:pt>
                <c:pt idx="25">
                  <c:v>89.37</c:v>
                </c:pt>
                <c:pt idx="26">
                  <c:v>88.93</c:v>
                </c:pt>
                <c:pt idx="27">
                  <c:v>90.37</c:v>
                </c:pt>
                <c:pt idx="28">
                  <c:v>89.3</c:v>
                </c:pt>
                <c:pt idx="29">
                  <c:v>83.73</c:v>
                </c:pt>
                <c:pt idx="30">
                  <c:v>83.22</c:v>
                </c:pt>
                <c:pt idx="31">
                  <c:v>82.49</c:v>
                </c:pt>
                <c:pt idx="32">
                  <c:v>83.35</c:v>
                </c:pt>
                <c:pt idx="33">
                  <c:v>81.47</c:v>
                </c:pt>
                <c:pt idx="34">
                  <c:v>82.85</c:v>
                </c:pt>
                <c:pt idx="35">
                  <c:v>83.9</c:v>
                </c:pt>
                <c:pt idx="36">
                  <c:v>84.3</c:v>
                </c:pt>
                <c:pt idx="37">
                  <c:v>85.8</c:v>
                </c:pt>
                <c:pt idx="38">
                  <c:v>86.86</c:v>
                </c:pt>
                <c:pt idx="39">
                  <c:v>85.04</c:v>
                </c:pt>
                <c:pt idx="40">
                  <c:v>89.2</c:v>
                </c:pt>
                <c:pt idx="41">
                  <c:v>89.03</c:v>
                </c:pt>
                <c:pt idx="42">
                  <c:v>90.72</c:v>
                </c:pt>
                <c:pt idx="43">
                  <c:v>89.13</c:v>
                </c:pt>
                <c:pt idx="44">
                  <c:v>88.91</c:v>
                </c:pt>
                <c:pt idx="45">
                  <c:v>86.59</c:v>
                </c:pt>
                <c:pt idx="46">
                  <c:v>91.01</c:v>
                </c:pt>
                <c:pt idx="47">
                  <c:v>92.85</c:v>
                </c:pt>
                <c:pt idx="48">
                  <c:v>92.45</c:v>
                </c:pt>
                <c:pt idx="49">
                  <c:v>91.39</c:v>
                </c:pt>
                <c:pt idx="50">
                  <c:v>91.34</c:v>
                </c:pt>
                <c:pt idx="51">
                  <c:v>89.63</c:v>
                </c:pt>
                <c:pt idx="52">
                  <c:v>89.3</c:v>
                </c:pt>
                <c:pt idx="53">
                  <c:v>88.71</c:v>
                </c:pt>
                <c:pt idx="54">
                  <c:v>92</c:v>
                </c:pt>
                <c:pt idx="55">
                  <c:v>95.22</c:v>
                </c:pt>
                <c:pt idx="56">
                  <c:v>96.16</c:v>
                </c:pt>
                <c:pt idx="57">
                  <c:v>92.2</c:v>
                </c:pt>
                <c:pt idx="58">
                  <c:v>94.25</c:v>
                </c:pt>
                <c:pt idx="59">
                  <c:v>113.68</c:v>
                </c:pt>
                <c:pt idx="60">
                  <c:v>117.03</c:v>
                </c:pt>
                <c:pt idx="61">
                  <c:v>117.68</c:v>
                </c:pt>
                <c:pt idx="62">
                  <c:v>117.86</c:v>
                </c:pt>
                <c:pt idx="63">
                  <c:v>117.66</c:v>
                </c:pt>
                <c:pt idx="64">
                  <c:v>118.22</c:v>
                </c:pt>
                <c:pt idx="65">
                  <c:v>115.55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002696"/>
        <c:axId val="643121696"/>
      </c:lineChart>
      <c:dateAx>
        <c:axId val="63300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1696"/>
        <c:crosses val="autoZero"/>
        <c:auto val="1"/>
        <c:lblOffset val="100"/>
        <c:baseTimeUnit val="days"/>
      </c:dateAx>
      <c:valAx>
        <c:axId val="643121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00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</c:v>
                </c:pt>
                <c:pt idx="1">
                  <c:v>52.93</c:v>
                </c:pt>
                <c:pt idx="2">
                  <c:v>53.27</c:v>
                </c:pt>
                <c:pt idx="3">
                  <c:v>53.65</c:v>
                </c:pt>
                <c:pt idx="4">
                  <c:v>52.92</c:v>
                </c:pt>
                <c:pt idx="5">
                  <c:v>52.4</c:v>
                </c:pt>
                <c:pt idx="6">
                  <c:v>52.69</c:v>
                </c:pt>
                <c:pt idx="7">
                  <c:v>53.11</c:v>
                </c:pt>
                <c:pt idx="8">
                  <c:v>53.38</c:v>
                </c:pt>
                <c:pt idx="9">
                  <c:v>53.91</c:v>
                </c:pt>
                <c:pt idx="10">
                  <c:v>53.06</c:v>
                </c:pt>
                <c:pt idx="11">
                  <c:v>53.07</c:v>
                </c:pt>
                <c:pt idx="12">
                  <c:v>51.98</c:v>
                </c:pt>
                <c:pt idx="13">
                  <c:v>50.83</c:v>
                </c:pt>
                <c:pt idx="14">
                  <c:v>51.06</c:v>
                </c:pt>
                <c:pt idx="15">
                  <c:v>51.02</c:v>
                </c:pt>
                <c:pt idx="16">
                  <c:v>51.29</c:v>
                </c:pt>
                <c:pt idx="17">
                  <c:v>51.91</c:v>
                </c:pt>
                <c:pt idx="18">
                  <c:v>52.14</c:v>
                </c:pt>
                <c:pt idx="19">
                  <c:v>52.3</c:v>
                </c:pt>
                <c:pt idx="20">
                  <c:v>51.79</c:v>
                </c:pt>
                <c:pt idx="21">
                  <c:v>50.85</c:v>
                </c:pt>
                <c:pt idx="22">
                  <c:v>50.92</c:v>
                </c:pt>
                <c:pt idx="23">
                  <c:v>51.29</c:v>
                </c:pt>
                <c:pt idx="24">
                  <c:v>51.79</c:v>
                </c:pt>
                <c:pt idx="25">
                  <c:v>52.3</c:v>
                </c:pt>
                <c:pt idx="26">
                  <c:v>51.54</c:v>
                </c:pt>
                <c:pt idx="27">
                  <c:v>51.72</c:v>
                </c:pt>
                <c:pt idx="28">
                  <c:v>51.55</c:v>
                </c:pt>
                <c:pt idx="29">
                  <c:v>52.1</c:v>
                </c:pt>
                <c:pt idx="30">
                  <c:v>50.57</c:v>
                </c:pt>
                <c:pt idx="31">
                  <c:v>51.85</c:v>
                </c:pt>
                <c:pt idx="32">
                  <c:v>50.46</c:v>
                </c:pt>
                <c:pt idx="33">
                  <c:v>50.65</c:v>
                </c:pt>
                <c:pt idx="35">
                  <c:v>50.07</c:v>
                </c:pt>
                <c:pt idx="36">
                  <c:v>50.63</c:v>
                </c:pt>
                <c:pt idx="37">
                  <c:v>51.01</c:v>
                </c:pt>
                <c:pt idx="38">
                  <c:v>51.52</c:v>
                </c:pt>
                <c:pt idx="39">
                  <c:v>51.34</c:v>
                </c:pt>
                <c:pt idx="40">
                  <c:v>51.71</c:v>
                </c:pt>
                <c:pt idx="41">
                  <c:v>51.28</c:v>
                </c:pt>
                <c:pt idx="42">
                  <c:v>51.1</c:v>
                </c:pt>
                <c:pt idx="43">
                  <c:v>51.59</c:v>
                </c:pt>
                <c:pt idx="44">
                  <c:v>50.68</c:v>
                </c:pt>
                <c:pt idx="45">
                  <c:v>50.13</c:v>
                </c:pt>
                <c:pt idx="46">
                  <c:v>50.21</c:v>
                </c:pt>
                <c:pt idx="47">
                  <c:v>50.77</c:v>
                </c:pt>
                <c:pt idx="48">
                  <c:v>50.39</c:v>
                </c:pt>
                <c:pt idx="49">
                  <c:v>51.12</c:v>
                </c:pt>
                <c:pt idx="50">
                  <c:v>51.08</c:v>
                </c:pt>
                <c:pt idx="51">
                  <c:v>50.91</c:v>
                </c:pt>
                <c:pt idx="52">
                  <c:v>49.96</c:v>
                </c:pt>
                <c:pt idx="53">
                  <c:v>49.73</c:v>
                </c:pt>
                <c:pt idx="54">
                  <c:v>49.72</c:v>
                </c:pt>
                <c:pt idx="55">
                  <c:v>49.62</c:v>
                </c:pt>
                <c:pt idx="56">
                  <c:v>50.18</c:v>
                </c:pt>
                <c:pt idx="57">
                  <c:v>52.02</c:v>
                </c:pt>
                <c:pt idx="58">
                  <c:v>51.89</c:v>
                </c:pt>
                <c:pt idx="59">
                  <c:v>51.97</c:v>
                </c:pt>
                <c:pt idx="60">
                  <c:v>51.05</c:v>
                </c:pt>
                <c:pt idx="61">
                  <c:v>51.87</c:v>
                </c:pt>
                <c:pt idx="62">
                  <c:v>51.77</c:v>
                </c:pt>
                <c:pt idx="63">
                  <c:v>51.89</c:v>
                </c:pt>
                <c:pt idx="64">
                  <c:v>51.8</c:v>
                </c:pt>
                <c:pt idx="65">
                  <c:v>51.22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23656"/>
        <c:axId val="643124048"/>
      </c:lineChart>
      <c:dateAx>
        <c:axId val="64312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4048"/>
        <c:crosses val="autoZero"/>
        <c:auto val="1"/>
        <c:lblOffset val="100"/>
        <c:baseTimeUnit val="days"/>
      </c:dateAx>
      <c:valAx>
        <c:axId val="6431240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31.28</c:v>
                </c:pt>
                <c:pt idx="1">
                  <c:v>30.25</c:v>
                </c:pt>
                <c:pt idx="2">
                  <c:v>30.6</c:v>
                </c:pt>
                <c:pt idx="3">
                  <c:v>30.77</c:v>
                </c:pt>
                <c:pt idx="4">
                  <c:v>31.25</c:v>
                </c:pt>
                <c:pt idx="5">
                  <c:v>31.41</c:v>
                </c:pt>
                <c:pt idx="6">
                  <c:v>31.43</c:v>
                </c:pt>
                <c:pt idx="7">
                  <c:v>30.72</c:v>
                </c:pt>
                <c:pt idx="8">
                  <c:v>30.71</c:v>
                </c:pt>
                <c:pt idx="9">
                  <c:v>30.8</c:v>
                </c:pt>
                <c:pt idx="10">
                  <c:v>30.87</c:v>
                </c:pt>
                <c:pt idx="11">
                  <c:v>30.81</c:v>
                </c:pt>
                <c:pt idx="12">
                  <c:v>29.53</c:v>
                </c:pt>
                <c:pt idx="13">
                  <c:v>29.33</c:v>
                </c:pt>
                <c:pt idx="14">
                  <c:v>29.33</c:v>
                </c:pt>
                <c:pt idx="15">
                  <c:v>29.06</c:v>
                </c:pt>
                <c:pt idx="16">
                  <c:v>30.04</c:v>
                </c:pt>
                <c:pt idx="17">
                  <c:v>29.18</c:v>
                </c:pt>
                <c:pt idx="18">
                  <c:v>29.35</c:v>
                </c:pt>
                <c:pt idx="19">
                  <c:v>28.78</c:v>
                </c:pt>
                <c:pt idx="20">
                  <c:v>28.16</c:v>
                </c:pt>
                <c:pt idx="21">
                  <c:v>27.77</c:v>
                </c:pt>
                <c:pt idx="22">
                  <c:v>29.56</c:v>
                </c:pt>
                <c:pt idx="23">
                  <c:v>29.74</c:v>
                </c:pt>
                <c:pt idx="24">
                  <c:v>29.38</c:v>
                </c:pt>
                <c:pt idx="25">
                  <c:v>29.52</c:v>
                </c:pt>
                <c:pt idx="26">
                  <c:v>30.24</c:v>
                </c:pt>
                <c:pt idx="27">
                  <c:v>31.42</c:v>
                </c:pt>
                <c:pt idx="28">
                  <c:v>30.18</c:v>
                </c:pt>
                <c:pt idx="29">
                  <c:v>30.23</c:v>
                </c:pt>
                <c:pt idx="30">
                  <c:v>29.38</c:v>
                </c:pt>
                <c:pt idx="31">
                  <c:v>29.17</c:v>
                </c:pt>
                <c:pt idx="32">
                  <c:v>28.82</c:v>
                </c:pt>
                <c:pt idx="33">
                  <c:v>29.09</c:v>
                </c:pt>
                <c:pt idx="34">
                  <c:v>28.4</c:v>
                </c:pt>
                <c:pt idx="35">
                  <c:v>27.06</c:v>
                </c:pt>
                <c:pt idx="37">
                  <c:v>27.35</c:v>
                </c:pt>
                <c:pt idx="38">
                  <c:v>27.43</c:v>
                </c:pt>
                <c:pt idx="39">
                  <c:v>27.45</c:v>
                </c:pt>
                <c:pt idx="40">
                  <c:v>27.37</c:v>
                </c:pt>
                <c:pt idx="41">
                  <c:v>29.05</c:v>
                </c:pt>
                <c:pt idx="42">
                  <c:v>28.26</c:v>
                </c:pt>
                <c:pt idx="43">
                  <c:v>27.33</c:v>
                </c:pt>
                <c:pt idx="44">
                  <c:v>27.21</c:v>
                </c:pt>
                <c:pt idx="45">
                  <c:v>27.95</c:v>
                </c:pt>
                <c:pt idx="46">
                  <c:v>28.29</c:v>
                </c:pt>
                <c:pt idx="47">
                  <c:v>27.41</c:v>
                </c:pt>
                <c:pt idx="48">
                  <c:v>28.23</c:v>
                </c:pt>
                <c:pt idx="49">
                  <c:v>26.77</c:v>
                </c:pt>
                <c:pt idx="50">
                  <c:v>26.18</c:v>
                </c:pt>
                <c:pt idx="51">
                  <c:v>25.11</c:v>
                </c:pt>
                <c:pt idx="52">
                  <c:v>24.5</c:v>
                </c:pt>
                <c:pt idx="53">
                  <c:v>24.15</c:v>
                </c:pt>
                <c:pt idx="54">
                  <c:v>24.73</c:v>
                </c:pt>
                <c:pt idx="55">
                  <c:v>24.32</c:v>
                </c:pt>
                <c:pt idx="56">
                  <c:v>23.53</c:v>
                </c:pt>
                <c:pt idx="57">
                  <c:v>23.79</c:v>
                </c:pt>
                <c:pt idx="58">
                  <c:v>23.93</c:v>
                </c:pt>
                <c:pt idx="59">
                  <c:v>24.82</c:v>
                </c:pt>
                <c:pt idx="60">
                  <c:v>24.6</c:v>
                </c:pt>
                <c:pt idx="61">
                  <c:v>24.51</c:v>
                </c:pt>
                <c:pt idx="62">
                  <c:v>24.31</c:v>
                </c:pt>
                <c:pt idx="63">
                  <c:v>24.69</c:v>
                </c:pt>
                <c:pt idx="64">
                  <c:v>23.84</c:v>
                </c:pt>
                <c:pt idx="65">
                  <c:v>23.39</c:v>
                </c:pt>
                <c:pt idx="66">
                  <c:v>22.83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26008"/>
        <c:axId val="643126400"/>
      </c:lineChart>
      <c:dateAx>
        <c:axId val="64312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6400"/>
        <c:crosses val="autoZero"/>
        <c:auto val="1"/>
        <c:lblOffset val="100"/>
        <c:baseTimeUnit val="days"/>
      </c:dateAx>
      <c:valAx>
        <c:axId val="643126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20-Dec-16</c:v>
                </c:pt>
                <c:pt idx="22">
                  <c:v>19-Dec-16</c:v>
                </c:pt>
                <c:pt idx="23">
                  <c:v>16-Dec-16</c:v>
                </c:pt>
                <c:pt idx="24">
                  <c:v>15-Dec-16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48.73</c:v>
                </c:pt>
                <c:pt idx="2">
                  <c:v>48.83</c:v>
                </c:pt>
                <c:pt idx="3">
                  <c:v>49.03</c:v>
                </c:pt>
                <c:pt idx="4">
                  <c:v>49.03</c:v>
                </c:pt>
                <c:pt idx="5">
                  <c:v>48.82</c:v>
                </c:pt>
                <c:pt idx="6">
                  <c:v>48.77</c:v>
                </c:pt>
                <c:pt idx="7">
                  <c:v>48.52</c:v>
                </c:pt>
                <c:pt idx="8">
                  <c:v>48.53</c:v>
                </c:pt>
                <c:pt idx="9">
                  <c:v>48.7</c:v>
                </c:pt>
                <c:pt idx="10">
                  <c:v>48.94</c:v>
                </c:pt>
                <c:pt idx="11">
                  <c:v>48.5</c:v>
                </c:pt>
                <c:pt idx="12">
                  <c:v>48.1</c:v>
                </c:pt>
                <c:pt idx="13">
                  <c:v>47.94</c:v>
                </c:pt>
                <c:pt idx="14">
                  <c:v>47.68</c:v>
                </c:pt>
                <c:pt idx="15">
                  <c:v>47.35</c:v>
                </c:pt>
                <c:pt idx="16">
                  <c:v>47.65</c:v>
                </c:pt>
                <c:pt idx="17">
                  <c:v>47.58</c:v>
                </c:pt>
                <c:pt idx="18">
                  <c:v>47.39</c:v>
                </c:pt>
                <c:pt idx="19">
                  <c:v>47.48</c:v>
                </c:pt>
                <c:pt idx="20">
                  <c:v>47.36</c:v>
                </c:pt>
                <c:pt idx="22">
                  <c:v>47.46</c:v>
                </c:pt>
                <c:pt idx="23">
                  <c:v>47.63</c:v>
                </c:pt>
                <c:pt idx="24">
                  <c:v>47.39</c:v>
                </c:pt>
                <c:pt idx="25">
                  <c:v>47.42</c:v>
                </c:pt>
                <c:pt idx="26">
                  <c:v>48.17</c:v>
                </c:pt>
                <c:pt idx="27">
                  <c:v>47.66</c:v>
                </c:pt>
                <c:pt idx="28">
                  <c:v>47.73</c:v>
                </c:pt>
                <c:pt idx="29">
                  <c:v>47.47</c:v>
                </c:pt>
                <c:pt idx="30">
                  <c:v>47.75</c:v>
                </c:pt>
                <c:pt idx="31">
                  <c:v>47.11</c:v>
                </c:pt>
                <c:pt idx="32">
                  <c:v>46.68</c:v>
                </c:pt>
                <c:pt idx="33">
                  <c:v>45.99</c:v>
                </c:pt>
                <c:pt idx="34">
                  <c:v>45.84</c:v>
                </c:pt>
                <c:pt idx="35">
                  <c:v>45.91</c:v>
                </c:pt>
                <c:pt idx="36">
                  <c:v>45.94</c:v>
                </c:pt>
                <c:pt idx="37">
                  <c:v>45.54</c:v>
                </c:pt>
                <c:pt idx="38">
                  <c:v>46.08</c:v>
                </c:pt>
                <c:pt idx="39">
                  <c:v>45.7</c:v>
                </c:pt>
                <c:pt idx="40">
                  <c:v>46.03</c:v>
                </c:pt>
                <c:pt idx="41">
                  <c:v>45.99</c:v>
                </c:pt>
                <c:pt idx="42">
                  <c:v>45.6</c:v>
                </c:pt>
                <c:pt idx="43">
                  <c:v>46.07</c:v>
                </c:pt>
                <c:pt idx="44">
                  <c:v>45.85</c:v>
                </c:pt>
                <c:pt idx="45">
                  <c:v>46.36</c:v>
                </c:pt>
                <c:pt idx="46">
                  <c:v>46.04</c:v>
                </c:pt>
                <c:pt idx="47">
                  <c:v>46.44</c:v>
                </c:pt>
                <c:pt idx="48">
                  <c:v>46.9</c:v>
                </c:pt>
                <c:pt idx="49">
                  <c:v>47.14</c:v>
                </c:pt>
                <c:pt idx="50">
                  <c:v>46.9</c:v>
                </c:pt>
                <c:pt idx="51">
                  <c:v>46.76</c:v>
                </c:pt>
                <c:pt idx="52">
                  <c:v>46.03</c:v>
                </c:pt>
                <c:pt idx="53">
                  <c:v>46.49</c:v>
                </c:pt>
                <c:pt idx="54">
                  <c:v>46.51</c:v>
                </c:pt>
                <c:pt idx="55">
                  <c:v>46.82</c:v>
                </c:pt>
                <c:pt idx="56">
                  <c:v>47.01</c:v>
                </c:pt>
                <c:pt idx="57">
                  <c:v>47.06</c:v>
                </c:pt>
                <c:pt idx="58">
                  <c:v>47.1</c:v>
                </c:pt>
                <c:pt idx="59">
                  <c:v>47.05</c:v>
                </c:pt>
                <c:pt idx="60">
                  <c:v>47.28</c:v>
                </c:pt>
                <c:pt idx="61">
                  <c:v>47.46</c:v>
                </c:pt>
                <c:pt idx="62">
                  <c:v>47.52</c:v>
                </c:pt>
                <c:pt idx="63">
                  <c:v>47.66</c:v>
                </c:pt>
                <c:pt idx="64">
                  <c:v>47.66</c:v>
                </c:pt>
                <c:pt idx="65">
                  <c:v>47.6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28360"/>
        <c:axId val="643128752"/>
      </c:lineChart>
      <c:catAx>
        <c:axId val="64312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8752"/>
        <c:crosses val="autoZero"/>
        <c:auto val="1"/>
        <c:lblAlgn val="ctr"/>
        <c:lblOffset val="100"/>
        <c:noMultiLvlLbl val="0"/>
      </c:catAx>
      <c:valAx>
        <c:axId val="643128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21.96</c:v>
                </c:pt>
                <c:pt idx="1">
                  <c:v>21.71</c:v>
                </c:pt>
                <c:pt idx="2">
                  <c:v>22.32</c:v>
                </c:pt>
                <c:pt idx="3">
                  <c:v>21.74</c:v>
                </c:pt>
                <c:pt idx="4">
                  <c:v>22.18</c:v>
                </c:pt>
                <c:pt idx="5">
                  <c:v>22.31</c:v>
                </c:pt>
                <c:pt idx="6">
                  <c:v>22.79</c:v>
                </c:pt>
                <c:pt idx="7">
                  <c:v>22.48</c:v>
                </c:pt>
                <c:pt idx="8">
                  <c:v>22.34</c:v>
                </c:pt>
                <c:pt idx="9">
                  <c:v>22.04</c:v>
                </c:pt>
                <c:pt idx="10">
                  <c:v>22.11</c:v>
                </c:pt>
                <c:pt idx="11">
                  <c:v>22.36</c:v>
                </c:pt>
                <c:pt idx="12">
                  <c:v>22.55</c:v>
                </c:pt>
                <c:pt idx="13">
                  <c:v>21.92</c:v>
                </c:pt>
                <c:pt idx="14">
                  <c:v>22.27</c:v>
                </c:pt>
                <c:pt idx="15">
                  <c:v>22.78</c:v>
                </c:pt>
                <c:pt idx="16">
                  <c:v>23.3</c:v>
                </c:pt>
                <c:pt idx="17">
                  <c:v>23.26</c:v>
                </c:pt>
                <c:pt idx="18">
                  <c:v>23.19</c:v>
                </c:pt>
                <c:pt idx="19">
                  <c:v>20.58</c:v>
                </c:pt>
                <c:pt idx="20">
                  <c:v>20.65</c:v>
                </c:pt>
                <c:pt idx="21">
                  <c:v>20.350000000000001</c:v>
                </c:pt>
                <c:pt idx="22">
                  <c:v>20.27</c:v>
                </c:pt>
                <c:pt idx="23">
                  <c:v>20.29</c:v>
                </c:pt>
                <c:pt idx="24">
                  <c:v>20.02</c:v>
                </c:pt>
                <c:pt idx="25">
                  <c:v>20.13</c:v>
                </c:pt>
                <c:pt idx="26">
                  <c:v>20.02</c:v>
                </c:pt>
                <c:pt idx="27">
                  <c:v>20.5</c:v>
                </c:pt>
                <c:pt idx="28">
                  <c:v>20.66</c:v>
                </c:pt>
                <c:pt idx="29">
                  <c:v>20.440000000000001</c:v>
                </c:pt>
                <c:pt idx="30">
                  <c:v>19.059999999999999</c:v>
                </c:pt>
                <c:pt idx="31">
                  <c:v>18.61</c:v>
                </c:pt>
                <c:pt idx="32">
                  <c:v>18.79</c:v>
                </c:pt>
                <c:pt idx="33">
                  <c:v>18.48</c:v>
                </c:pt>
                <c:pt idx="34">
                  <c:v>19.53</c:v>
                </c:pt>
                <c:pt idx="35">
                  <c:v>19.420000000000002</c:v>
                </c:pt>
                <c:pt idx="36">
                  <c:v>19.989999999999998</c:v>
                </c:pt>
                <c:pt idx="37">
                  <c:v>20.13</c:v>
                </c:pt>
                <c:pt idx="38">
                  <c:v>19.91</c:v>
                </c:pt>
                <c:pt idx="39">
                  <c:v>19.739999999999998</c:v>
                </c:pt>
                <c:pt idx="40">
                  <c:v>19.489999999999998</c:v>
                </c:pt>
                <c:pt idx="41">
                  <c:v>19.21</c:v>
                </c:pt>
                <c:pt idx="42">
                  <c:v>19.18</c:v>
                </c:pt>
                <c:pt idx="43">
                  <c:v>18.239999999999998</c:v>
                </c:pt>
                <c:pt idx="44">
                  <c:v>18.100000000000001</c:v>
                </c:pt>
                <c:pt idx="45">
                  <c:v>17.71</c:v>
                </c:pt>
                <c:pt idx="46">
                  <c:v>17.670000000000002</c:v>
                </c:pt>
                <c:pt idx="47">
                  <c:v>16.989999999999998</c:v>
                </c:pt>
                <c:pt idx="48">
                  <c:v>17.2</c:v>
                </c:pt>
                <c:pt idx="49">
                  <c:v>17.41</c:v>
                </c:pt>
                <c:pt idx="50">
                  <c:v>17.38</c:v>
                </c:pt>
                <c:pt idx="51">
                  <c:v>16.68</c:v>
                </c:pt>
                <c:pt idx="52">
                  <c:v>16.62</c:v>
                </c:pt>
                <c:pt idx="53">
                  <c:v>16.68</c:v>
                </c:pt>
                <c:pt idx="54">
                  <c:v>16.98</c:v>
                </c:pt>
                <c:pt idx="55">
                  <c:v>17.16</c:v>
                </c:pt>
                <c:pt idx="56">
                  <c:v>17.2</c:v>
                </c:pt>
                <c:pt idx="57">
                  <c:v>17.53</c:v>
                </c:pt>
                <c:pt idx="58">
                  <c:v>17.64</c:v>
                </c:pt>
                <c:pt idx="59">
                  <c:v>17.54</c:v>
                </c:pt>
                <c:pt idx="60">
                  <c:v>17.059999999999999</c:v>
                </c:pt>
                <c:pt idx="61">
                  <c:v>16.940000000000001</c:v>
                </c:pt>
                <c:pt idx="62">
                  <c:v>17.2</c:v>
                </c:pt>
                <c:pt idx="63">
                  <c:v>17.22</c:v>
                </c:pt>
                <c:pt idx="64">
                  <c:v>17.41</c:v>
                </c:pt>
                <c:pt idx="65">
                  <c:v>16.989999999999998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30712"/>
        <c:axId val="643131104"/>
      </c:lineChart>
      <c:dateAx>
        <c:axId val="64313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1104"/>
        <c:crosses val="autoZero"/>
        <c:auto val="1"/>
        <c:lblOffset val="100"/>
        <c:baseTimeUnit val="days"/>
      </c:dateAx>
      <c:valAx>
        <c:axId val="6431311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53.69</c:v>
                </c:pt>
                <c:pt idx="1">
                  <c:v>52.68</c:v>
                </c:pt>
                <c:pt idx="2">
                  <c:v>53.03</c:v>
                </c:pt>
                <c:pt idx="3">
                  <c:v>52.99</c:v>
                </c:pt>
                <c:pt idx="4">
                  <c:v>53.55</c:v>
                </c:pt>
                <c:pt idx="5">
                  <c:v>53.67</c:v>
                </c:pt>
                <c:pt idx="6">
                  <c:v>54.14</c:v>
                </c:pt>
                <c:pt idx="7">
                  <c:v>53.78</c:v>
                </c:pt>
                <c:pt idx="8">
                  <c:v>53.62</c:v>
                </c:pt>
                <c:pt idx="9">
                  <c:v>53.72</c:v>
                </c:pt>
                <c:pt idx="10">
                  <c:v>53.61</c:v>
                </c:pt>
                <c:pt idx="11">
                  <c:v>54.05</c:v>
                </c:pt>
                <c:pt idx="12">
                  <c:v>53.39</c:v>
                </c:pt>
                <c:pt idx="13">
                  <c:v>53.06</c:v>
                </c:pt>
                <c:pt idx="14">
                  <c:v>53.37</c:v>
                </c:pt>
                <c:pt idx="15">
                  <c:v>53.38</c:v>
                </c:pt>
                <c:pt idx="16">
                  <c:v>54.28</c:v>
                </c:pt>
                <c:pt idx="17">
                  <c:v>54.03</c:v>
                </c:pt>
                <c:pt idx="18">
                  <c:v>53.79</c:v>
                </c:pt>
                <c:pt idx="19">
                  <c:v>53.95</c:v>
                </c:pt>
                <c:pt idx="20">
                  <c:v>53.99</c:v>
                </c:pt>
                <c:pt idx="21">
                  <c:v>53.68</c:v>
                </c:pt>
                <c:pt idx="22">
                  <c:v>53.75</c:v>
                </c:pt>
                <c:pt idx="23">
                  <c:v>53.6</c:v>
                </c:pt>
                <c:pt idx="24">
                  <c:v>52.92</c:v>
                </c:pt>
                <c:pt idx="25">
                  <c:v>53.29</c:v>
                </c:pt>
                <c:pt idx="26">
                  <c:v>53.6</c:v>
                </c:pt>
                <c:pt idx="27">
                  <c:v>53.83</c:v>
                </c:pt>
                <c:pt idx="28">
                  <c:v>53.66</c:v>
                </c:pt>
                <c:pt idx="29">
                  <c:v>53.3</c:v>
                </c:pt>
                <c:pt idx="30">
                  <c:v>51.77</c:v>
                </c:pt>
                <c:pt idx="31">
                  <c:v>51.41</c:v>
                </c:pt>
                <c:pt idx="32">
                  <c:v>50.46</c:v>
                </c:pt>
                <c:pt idx="33">
                  <c:v>49.73</c:v>
                </c:pt>
                <c:pt idx="34">
                  <c:v>48.72</c:v>
                </c:pt>
                <c:pt idx="35">
                  <c:v>48.84</c:v>
                </c:pt>
                <c:pt idx="36">
                  <c:v>48.69</c:v>
                </c:pt>
                <c:pt idx="37">
                  <c:v>48.85</c:v>
                </c:pt>
                <c:pt idx="38">
                  <c:v>48.72</c:v>
                </c:pt>
                <c:pt idx="39">
                  <c:v>48.58</c:v>
                </c:pt>
                <c:pt idx="40">
                  <c:v>48.31</c:v>
                </c:pt>
                <c:pt idx="41">
                  <c:v>48.45</c:v>
                </c:pt>
                <c:pt idx="42">
                  <c:v>48.32</c:v>
                </c:pt>
                <c:pt idx="43">
                  <c:v>47.94</c:v>
                </c:pt>
                <c:pt idx="44">
                  <c:v>47.75</c:v>
                </c:pt>
                <c:pt idx="45">
                  <c:v>47.21</c:v>
                </c:pt>
                <c:pt idx="46">
                  <c:v>45.66</c:v>
                </c:pt>
                <c:pt idx="47">
                  <c:v>45.81</c:v>
                </c:pt>
                <c:pt idx="49">
                  <c:v>45.65</c:v>
                </c:pt>
                <c:pt idx="50">
                  <c:v>44.75</c:v>
                </c:pt>
                <c:pt idx="51">
                  <c:v>44.47</c:v>
                </c:pt>
                <c:pt idx="52">
                  <c:v>43.98</c:v>
                </c:pt>
                <c:pt idx="53">
                  <c:v>43.6</c:v>
                </c:pt>
                <c:pt idx="54">
                  <c:v>44.18</c:v>
                </c:pt>
                <c:pt idx="55">
                  <c:v>44.22</c:v>
                </c:pt>
                <c:pt idx="56">
                  <c:v>45.03</c:v>
                </c:pt>
                <c:pt idx="57">
                  <c:v>45.01</c:v>
                </c:pt>
                <c:pt idx="58">
                  <c:v>45.14</c:v>
                </c:pt>
                <c:pt idx="59">
                  <c:v>46.16</c:v>
                </c:pt>
                <c:pt idx="60">
                  <c:v>46.6</c:v>
                </c:pt>
                <c:pt idx="61">
                  <c:v>46.71</c:v>
                </c:pt>
                <c:pt idx="62">
                  <c:v>47</c:v>
                </c:pt>
                <c:pt idx="63">
                  <c:v>47.18</c:v>
                </c:pt>
                <c:pt idx="64">
                  <c:v>48.28</c:v>
                </c:pt>
                <c:pt idx="65">
                  <c:v>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33064"/>
        <c:axId val="643133456"/>
      </c:lineChart>
      <c:dateAx>
        <c:axId val="64313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3456"/>
        <c:crosses val="autoZero"/>
        <c:auto val="1"/>
        <c:lblOffset val="100"/>
        <c:baseTimeUnit val="days"/>
      </c:dateAx>
      <c:valAx>
        <c:axId val="643133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INTC!$W$2:$W$68</c:f>
              <c:strCache>
                <c:ptCount val="67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17-Nov-16</c:v>
                </c:pt>
                <c:pt idx="43">
                  <c:v>16-Nov-16</c:v>
                </c:pt>
                <c:pt idx="44">
                  <c:v>15-Nov-16</c:v>
                </c:pt>
                <c:pt idx="45">
                  <c:v>14-Nov-16</c:v>
                </c:pt>
                <c:pt idx="46">
                  <c:v>11-Nov-16</c:v>
                </c:pt>
                <c:pt idx="47">
                  <c:v>10-Nov-16</c:v>
                </c:pt>
                <c:pt idx="48">
                  <c:v>9-Nov-16</c:v>
                </c:pt>
                <c:pt idx="49">
                  <c:v>8-Nov-16</c:v>
                </c:pt>
                <c:pt idx="50">
                  <c:v>7-Nov-16</c:v>
                </c:pt>
                <c:pt idx="51">
                  <c:v>4-Nov-16</c:v>
                </c:pt>
                <c:pt idx="52">
                  <c:v>3-Nov-16</c:v>
                </c:pt>
                <c:pt idx="53">
                  <c:v>2-Nov-16</c:v>
                </c:pt>
                <c:pt idx="54">
                  <c:v>1-Nov-16</c:v>
                </c:pt>
                <c:pt idx="55">
                  <c:v>31-Oct-16</c:v>
                </c:pt>
                <c:pt idx="56">
                  <c:v>28-Oct-16</c:v>
                </c:pt>
                <c:pt idx="57">
                  <c:v>27-Oct-16</c:v>
                </c:pt>
                <c:pt idx="58">
                  <c:v>26-Oct-16</c:v>
                </c:pt>
                <c:pt idx="59">
                  <c:v>25-Oct-16</c:v>
                </c:pt>
                <c:pt idx="60">
                  <c:v>24-Oct-16</c:v>
                </c:pt>
                <c:pt idx="61">
                  <c:v>21-Oct-16</c:v>
                </c:pt>
                <c:pt idx="62">
                  <c:v>20-Oct-16</c:v>
                </c:pt>
                <c:pt idx="63">
                  <c:v>19-Oct-16</c:v>
                </c:pt>
                <c:pt idx="64">
                  <c:v>18-Oct-16</c:v>
                </c:pt>
                <c:pt idx="65">
                  <c:v>17-Oct-16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INTC!$AA$2:$AA$68</c:f>
              <c:numCache>
                <c:formatCode>0.00</c:formatCode>
                <c:ptCount val="67"/>
                <c:pt idx="0">
                  <c:v>36.94</c:v>
                </c:pt>
                <c:pt idx="1">
                  <c:v>36.57</c:v>
                </c:pt>
                <c:pt idx="2">
                  <c:v>36.76</c:v>
                </c:pt>
                <c:pt idx="3">
                  <c:v>36.799999999999997</c:v>
                </c:pt>
                <c:pt idx="4">
                  <c:v>36.79</c:v>
                </c:pt>
                <c:pt idx="5">
                  <c:v>36.71</c:v>
                </c:pt>
                <c:pt idx="6">
                  <c:v>36.950000000000003</c:v>
                </c:pt>
                <c:pt idx="7">
                  <c:v>36.54</c:v>
                </c:pt>
                <c:pt idx="8">
                  <c:v>36.61</c:v>
                </c:pt>
                <c:pt idx="9">
                  <c:v>36.479999999999997</c:v>
                </c:pt>
                <c:pt idx="10">
                  <c:v>36.35</c:v>
                </c:pt>
                <c:pt idx="11">
                  <c:v>36.409999999999997</c:v>
                </c:pt>
                <c:pt idx="12">
                  <c:v>36.6</c:v>
                </c:pt>
                <c:pt idx="13">
                  <c:v>36.270000000000003</c:v>
                </c:pt>
                <c:pt idx="14">
                  <c:v>36.659999999999997</c:v>
                </c:pt>
                <c:pt idx="15">
                  <c:v>36.630000000000003</c:v>
                </c:pt>
                <c:pt idx="16">
                  <c:v>37.07</c:v>
                </c:pt>
                <c:pt idx="17">
                  <c:v>36.97</c:v>
                </c:pt>
                <c:pt idx="18">
                  <c:v>36.93</c:v>
                </c:pt>
                <c:pt idx="19">
                  <c:v>36.979999999999997</c:v>
                </c:pt>
                <c:pt idx="20">
                  <c:v>37.21</c:v>
                </c:pt>
                <c:pt idx="21">
                  <c:v>36.89</c:v>
                </c:pt>
                <c:pt idx="22">
                  <c:v>36.31</c:v>
                </c:pt>
                <c:pt idx="23">
                  <c:v>36.79</c:v>
                </c:pt>
                <c:pt idx="24">
                  <c:v>36.549999999999997</c:v>
                </c:pt>
                <c:pt idx="25">
                  <c:v>36.799999999999997</c:v>
                </c:pt>
                <c:pt idx="26">
                  <c:v>35.97</c:v>
                </c:pt>
                <c:pt idx="27">
                  <c:v>35.76</c:v>
                </c:pt>
                <c:pt idx="28">
                  <c:v>35.700000000000003</c:v>
                </c:pt>
                <c:pt idx="29">
                  <c:v>35.5</c:v>
                </c:pt>
                <c:pt idx="30">
                  <c:v>34.72</c:v>
                </c:pt>
                <c:pt idx="31">
                  <c:v>34.39</c:v>
                </c:pt>
                <c:pt idx="32">
                  <c:v>34.159999999999997</c:v>
                </c:pt>
                <c:pt idx="33">
                  <c:v>33.76</c:v>
                </c:pt>
                <c:pt idx="34">
                  <c:v>34.700000000000003</c:v>
                </c:pt>
                <c:pt idx="35">
                  <c:v>35.31</c:v>
                </c:pt>
                <c:pt idx="36">
                  <c:v>35.51</c:v>
                </c:pt>
                <c:pt idx="37">
                  <c:v>35.44</c:v>
                </c:pt>
                <c:pt idx="38">
                  <c:v>35.200000000000003</c:v>
                </c:pt>
                <c:pt idx="39">
                  <c:v>35.479999999999997</c:v>
                </c:pt>
                <c:pt idx="40">
                  <c:v>34.979999999999997</c:v>
                </c:pt>
                <c:pt idx="41">
                  <c:v>34.950000000000003</c:v>
                </c:pt>
                <c:pt idx="42">
                  <c:v>35.020000000000003</c:v>
                </c:pt>
                <c:pt idx="43">
                  <c:v>34.840000000000003</c:v>
                </c:pt>
                <c:pt idx="44">
                  <c:v>34.909999999999997</c:v>
                </c:pt>
                <c:pt idx="45">
                  <c:v>34.479999999999997</c:v>
                </c:pt>
                <c:pt idx="46">
                  <c:v>34.61</c:v>
                </c:pt>
                <c:pt idx="47">
                  <c:v>34.5</c:v>
                </c:pt>
                <c:pt idx="48">
                  <c:v>34.75</c:v>
                </c:pt>
                <c:pt idx="49">
                  <c:v>34.74</c:v>
                </c:pt>
                <c:pt idx="50">
                  <c:v>34.69</c:v>
                </c:pt>
                <c:pt idx="51">
                  <c:v>33.61</c:v>
                </c:pt>
                <c:pt idx="52">
                  <c:v>33.93</c:v>
                </c:pt>
                <c:pt idx="53">
                  <c:v>34.6</c:v>
                </c:pt>
                <c:pt idx="54">
                  <c:v>34.520000000000003</c:v>
                </c:pt>
                <c:pt idx="55">
                  <c:v>34.869999999999997</c:v>
                </c:pt>
                <c:pt idx="56">
                  <c:v>34.74</c:v>
                </c:pt>
                <c:pt idx="57">
                  <c:v>34.81</c:v>
                </c:pt>
                <c:pt idx="58">
                  <c:v>34.92</c:v>
                </c:pt>
                <c:pt idx="59">
                  <c:v>35.1</c:v>
                </c:pt>
                <c:pt idx="60">
                  <c:v>35.26</c:v>
                </c:pt>
                <c:pt idx="61">
                  <c:v>35.15</c:v>
                </c:pt>
                <c:pt idx="62">
                  <c:v>35.43</c:v>
                </c:pt>
                <c:pt idx="63">
                  <c:v>35.51</c:v>
                </c:pt>
                <c:pt idx="64">
                  <c:v>37.75</c:v>
                </c:pt>
                <c:pt idx="65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35416"/>
        <c:axId val="643135808"/>
      </c:lineChart>
      <c:catAx>
        <c:axId val="643135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5808"/>
        <c:crosses val="autoZero"/>
        <c:auto val="1"/>
        <c:lblAlgn val="ctr"/>
        <c:lblOffset val="100"/>
        <c:noMultiLvlLbl val="0"/>
      </c:catAx>
      <c:valAx>
        <c:axId val="643135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57.98</c:v>
                </c:pt>
                <c:pt idx="1">
                  <c:v>57.72</c:v>
                </c:pt>
                <c:pt idx="2">
                  <c:v>58.83</c:v>
                </c:pt>
                <c:pt idx="3">
                  <c:v>59.3</c:v>
                </c:pt>
                <c:pt idx="4">
                  <c:v>58.89</c:v>
                </c:pt>
                <c:pt idx="5">
                  <c:v>58.85</c:v>
                </c:pt>
                <c:pt idx="6">
                  <c:v>61.84</c:v>
                </c:pt>
                <c:pt idx="7">
                  <c:v>61.45</c:v>
                </c:pt>
                <c:pt idx="8">
                  <c:v>60.61</c:v>
                </c:pt>
                <c:pt idx="9">
                  <c:v>61.9</c:v>
                </c:pt>
                <c:pt idx="10">
                  <c:v>62.1</c:v>
                </c:pt>
                <c:pt idx="11">
                  <c:v>61.93</c:v>
                </c:pt>
                <c:pt idx="12">
                  <c:v>62.82</c:v>
                </c:pt>
                <c:pt idx="13">
                  <c:v>62.29</c:v>
                </c:pt>
                <c:pt idx="14">
                  <c:v>62.9</c:v>
                </c:pt>
                <c:pt idx="15">
                  <c:v>63.48</c:v>
                </c:pt>
                <c:pt idx="16">
                  <c:v>64.41</c:v>
                </c:pt>
                <c:pt idx="17">
                  <c:v>63.78</c:v>
                </c:pt>
                <c:pt idx="18">
                  <c:v>63.71</c:v>
                </c:pt>
                <c:pt idx="19">
                  <c:v>63.56</c:v>
                </c:pt>
                <c:pt idx="20">
                  <c:v>63.39</c:v>
                </c:pt>
                <c:pt idx="21">
                  <c:v>63.37</c:v>
                </c:pt>
                <c:pt idx="22">
                  <c:v>62.5</c:v>
                </c:pt>
                <c:pt idx="23">
                  <c:v>62.68</c:v>
                </c:pt>
                <c:pt idx="25">
                  <c:v>63.17</c:v>
                </c:pt>
                <c:pt idx="26">
                  <c:v>65.14</c:v>
                </c:pt>
                <c:pt idx="27">
                  <c:v>62.9</c:v>
                </c:pt>
                <c:pt idx="28">
                  <c:v>62.76</c:v>
                </c:pt>
                <c:pt idx="29">
                  <c:v>61.67</c:v>
                </c:pt>
                <c:pt idx="30">
                  <c:v>60.95</c:v>
                </c:pt>
                <c:pt idx="31">
                  <c:v>59.81</c:v>
                </c:pt>
                <c:pt idx="32">
                  <c:v>59</c:v>
                </c:pt>
                <c:pt idx="33">
                  <c:v>57.92</c:v>
                </c:pt>
                <c:pt idx="34">
                  <c:v>56.11</c:v>
                </c:pt>
                <c:pt idx="35">
                  <c:v>55.96</c:v>
                </c:pt>
                <c:pt idx="36">
                  <c:v>49.05</c:v>
                </c:pt>
                <c:pt idx="37">
                  <c:v>51</c:v>
                </c:pt>
                <c:pt idx="38">
                  <c:v>52.73</c:v>
                </c:pt>
                <c:pt idx="39">
                  <c:v>53.2</c:v>
                </c:pt>
                <c:pt idx="40">
                  <c:v>52.62</c:v>
                </c:pt>
                <c:pt idx="41">
                  <c:v>52.81</c:v>
                </c:pt>
                <c:pt idx="42">
                  <c:v>50.97</c:v>
                </c:pt>
                <c:pt idx="43">
                  <c:v>50.5</c:v>
                </c:pt>
                <c:pt idx="44">
                  <c:v>50.82</c:v>
                </c:pt>
                <c:pt idx="45">
                  <c:v>50.59</c:v>
                </c:pt>
                <c:pt idx="46">
                  <c:v>48.07</c:v>
                </c:pt>
                <c:pt idx="47">
                  <c:v>47.58</c:v>
                </c:pt>
                <c:pt idx="48">
                  <c:v>49.64</c:v>
                </c:pt>
                <c:pt idx="49">
                  <c:v>49</c:v>
                </c:pt>
                <c:pt idx="50">
                  <c:v>47.74</c:v>
                </c:pt>
                <c:pt idx="51">
                  <c:v>47.44</c:v>
                </c:pt>
                <c:pt idx="52">
                  <c:v>46.42</c:v>
                </c:pt>
                <c:pt idx="53">
                  <c:v>47.09</c:v>
                </c:pt>
                <c:pt idx="54">
                  <c:v>47.09</c:v>
                </c:pt>
                <c:pt idx="55">
                  <c:v>47.85</c:v>
                </c:pt>
                <c:pt idx="56">
                  <c:v>47.97</c:v>
                </c:pt>
                <c:pt idx="57">
                  <c:v>50.3</c:v>
                </c:pt>
                <c:pt idx="58">
                  <c:v>50.42</c:v>
                </c:pt>
                <c:pt idx="59">
                  <c:v>50.26</c:v>
                </c:pt>
                <c:pt idx="60">
                  <c:v>50.9</c:v>
                </c:pt>
                <c:pt idx="61">
                  <c:v>52.22</c:v>
                </c:pt>
                <c:pt idx="62">
                  <c:v>52.76</c:v>
                </c:pt>
                <c:pt idx="63">
                  <c:v>52.65</c:v>
                </c:pt>
                <c:pt idx="64">
                  <c:v>52.37</c:v>
                </c:pt>
                <c:pt idx="65">
                  <c:v>50.98</c:v>
                </c:pt>
                <c:pt idx="66">
                  <c:v>50.82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96960"/>
        <c:axId val="664497352"/>
      </c:lineChart>
      <c:dateAx>
        <c:axId val="66449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7352"/>
        <c:crosses val="autoZero"/>
        <c:auto val="1"/>
        <c:lblOffset val="100"/>
        <c:baseTimeUnit val="days"/>
      </c:dateAx>
      <c:valAx>
        <c:axId val="664497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42725.00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108.6</c:v>
                </c:pt>
                <c:pt idx="1">
                  <c:v>106.24</c:v>
                </c:pt>
                <c:pt idx="2">
                  <c:v>103.77</c:v>
                </c:pt>
                <c:pt idx="3">
                  <c:v>103.37</c:v>
                </c:pt>
                <c:pt idx="4">
                  <c:v>105.25</c:v>
                </c:pt>
                <c:pt idx="5">
                  <c:v>104.7</c:v>
                </c:pt>
                <c:pt idx="6">
                  <c:v>104.27</c:v>
                </c:pt>
                <c:pt idx="7">
                  <c:v>103.42</c:v>
                </c:pt>
                <c:pt idx="8">
                  <c:v>102.42</c:v>
                </c:pt>
                <c:pt idx="9">
                  <c:v>103.19</c:v>
                </c:pt>
                <c:pt idx="10">
                  <c:v>102.13</c:v>
                </c:pt>
                <c:pt idx="11">
                  <c:v>103.14</c:v>
                </c:pt>
                <c:pt idx="12">
                  <c:v>102.52</c:v>
                </c:pt>
                <c:pt idx="13">
                  <c:v>103.68</c:v>
                </c:pt>
                <c:pt idx="14">
                  <c:v>104.42</c:v>
                </c:pt>
                <c:pt idx="15">
                  <c:v>104.76</c:v>
                </c:pt>
                <c:pt idx="16">
                  <c:v>105.71</c:v>
                </c:pt>
                <c:pt idx="17">
                  <c:v>105.18</c:v>
                </c:pt>
                <c:pt idx="18">
                  <c:v>105.19</c:v>
                </c:pt>
                <c:pt idx="19">
                  <c:v>104.65</c:v>
                </c:pt>
                <c:pt idx="20">
                  <c:v>104.65</c:v>
                </c:pt>
                <c:pt idx="21">
                  <c:v>103.4</c:v>
                </c:pt>
                <c:pt idx="22">
                  <c:v>103.31</c:v>
                </c:pt>
                <c:pt idx="23">
                  <c:v>104.68</c:v>
                </c:pt>
                <c:pt idx="24">
                  <c:v>102.82</c:v>
                </c:pt>
                <c:pt idx="25">
                  <c:v>104.04</c:v>
                </c:pt>
                <c:pt idx="26">
                  <c:v>104.32</c:v>
                </c:pt>
                <c:pt idx="27">
                  <c:v>104.99</c:v>
                </c:pt>
                <c:pt idx="28">
                  <c:v>105.37</c:v>
                </c:pt>
                <c:pt idx="29">
                  <c:v>106.33</c:v>
                </c:pt>
                <c:pt idx="30">
                  <c:v>103.15</c:v>
                </c:pt>
                <c:pt idx="31">
                  <c:v>102.84</c:v>
                </c:pt>
                <c:pt idx="32">
                  <c:v>102.65</c:v>
                </c:pt>
                <c:pt idx="33">
                  <c:v>103.39</c:v>
                </c:pt>
                <c:pt idx="34">
                  <c:v>101.33</c:v>
                </c:pt>
                <c:pt idx="35">
                  <c:v>100.57</c:v>
                </c:pt>
                <c:pt idx="36">
                  <c:v>100.69</c:v>
                </c:pt>
                <c:pt idx="38">
                  <c:v>102.1</c:v>
                </c:pt>
                <c:pt idx="39">
                  <c:v>101.39</c:v>
                </c:pt>
                <c:pt idx="40">
                  <c:v>100.49</c:v>
                </c:pt>
                <c:pt idx="41">
                  <c:v>100.75</c:v>
                </c:pt>
                <c:pt idx="42">
                  <c:v>99.83</c:v>
                </c:pt>
                <c:pt idx="43">
                  <c:v>98.81</c:v>
                </c:pt>
                <c:pt idx="44">
                  <c:v>98.01</c:v>
                </c:pt>
                <c:pt idx="45">
                  <c:v>99.11</c:v>
                </c:pt>
                <c:pt idx="46">
                  <c:v>99.43</c:v>
                </c:pt>
                <c:pt idx="47">
                  <c:v>96.88</c:v>
                </c:pt>
                <c:pt idx="48">
                  <c:v>97.49</c:v>
                </c:pt>
                <c:pt idx="49">
                  <c:v>93.95</c:v>
                </c:pt>
                <c:pt idx="50">
                  <c:v>90.6</c:v>
                </c:pt>
                <c:pt idx="51">
                  <c:v>90.75</c:v>
                </c:pt>
                <c:pt idx="52">
                  <c:v>88.76</c:v>
                </c:pt>
                <c:pt idx="53">
                  <c:v>88.77</c:v>
                </c:pt>
                <c:pt idx="54">
                  <c:v>88.69</c:v>
                </c:pt>
                <c:pt idx="55">
                  <c:v>87.89</c:v>
                </c:pt>
                <c:pt idx="56">
                  <c:v>88.18</c:v>
                </c:pt>
                <c:pt idx="57">
                  <c:v>88.37</c:v>
                </c:pt>
                <c:pt idx="58">
                  <c:v>88.82</c:v>
                </c:pt>
                <c:pt idx="59">
                  <c:v>89.05</c:v>
                </c:pt>
                <c:pt idx="60">
                  <c:v>89.99</c:v>
                </c:pt>
                <c:pt idx="61">
                  <c:v>89.88</c:v>
                </c:pt>
                <c:pt idx="62">
                  <c:v>90.37</c:v>
                </c:pt>
                <c:pt idx="63">
                  <c:v>90.64</c:v>
                </c:pt>
                <c:pt idx="64">
                  <c:v>97.12</c:v>
                </c:pt>
                <c:pt idx="65">
                  <c:v>96.72</c:v>
                </c:pt>
                <c:pt idx="66">
                  <c:v>96.77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99312"/>
        <c:axId val="664499704"/>
      </c:lineChart>
      <c:catAx>
        <c:axId val="664499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9704"/>
        <c:crosses val="autoZero"/>
        <c:auto val="1"/>
        <c:lblAlgn val="ctr"/>
        <c:lblOffset val="100"/>
        <c:noMultiLvlLbl val="0"/>
      </c:catAx>
      <c:valAx>
        <c:axId val="664499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45.63</c:v>
                </c:pt>
                <c:pt idx="1">
                  <c:v>45.62</c:v>
                </c:pt>
                <c:pt idx="2">
                  <c:v>45.67</c:v>
                </c:pt>
                <c:pt idx="3">
                  <c:v>44.74</c:v>
                </c:pt>
                <c:pt idx="4">
                  <c:v>44.95</c:v>
                </c:pt>
                <c:pt idx="5">
                  <c:v>45.35</c:v>
                </c:pt>
                <c:pt idx="6">
                  <c:v>45.75</c:v>
                </c:pt>
                <c:pt idx="7">
                  <c:v>45.22</c:v>
                </c:pt>
                <c:pt idx="8">
                  <c:v>44.39</c:v>
                </c:pt>
                <c:pt idx="9">
                  <c:v>44.25</c:v>
                </c:pt>
                <c:pt idx="10">
                  <c:v>44.55</c:v>
                </c:pt>
                <c:pt idx="11">
                  <c:v>44.77</c:v>
                </c:pt>
                <c:pt idx="12">
                  <c:v>42.79</c:v>
                </c:pt>
                <c:pt idx="13">
                  <c:v>42.53</c:v>
                </c:pt>
                <c:pt idx="14">
                  <c:v>42.66</c:v>
                </c:pt>
                <c:pt idx="15">
                  <c:v>42.93</c:v>
                </c:pt>
                <c:pt idx="16">
                  <c:v>43.69</c:v>
                </c:pt>
                <c:pt idx="17">
                  <c:v>43.51</c:v>
                </c:pt>
                <c:pt idx="18">
                  <c:v>43.38</c:v>
                </c:pt>
                <c:pt idx="19">
                  <c:v>44.93</c:v>
                </c:pt>
                <c:pt idx="20">
                  <c:v>44.92</c:v>
                </c:pt>
                <c:pt idx="21">
                  <c:v>43.06</c:v>
                </c:pt>
                <c:pt idx="22">
                  <c:v>44.13</c:v>
                </c:pt>
                <c:pt idx="23">
                  <c:v>45.14</c:v>
                </c:pt>
                <c:pt idx="24">
                  <c:v>44.03</c:v>
                </c:pt>
                <c:pt idx="25">
                  <c:v>43.9</c:v>
                </c:pt>
                <c:pt idx="26">
                  <c:v>43.99</c:v>
                </c:pt>
                <c:pt idx="27">
                  <c:v>44.5</c:v>
                </c:pt>
                <c:pt idx="28">
                  <c:v>44.02</c:v>
                </c:pt>
                <c:pt idx="29">
                  <c:v>42.66</c:v>
                </c:pt>
                <c:pt idx="30">
                  <c:v>41.25</c:v>
                </c:pt>
                <c:pt idx="31">
                  <c:v>40.64</c:v>
                </c:pt>
                <c:pt idx="32">
                  <c:v>39.28</c:v>
                </c:pt>
                <c:pt idx="33">
                  <c:v>38.85</c:v>
                </c:pt>
                <c:pt idx="34">
                  <c:v>39.81</c:v>
                </c:pt>
                <c:pt idx="35">
                  <c:v>40.71</c:v>
                </c:pt>
                <c:pt idx="36">
                  <c:v>40.1</c:v>
                </c:pt>
                <c:pt idx="37">
                  <c:v>40.58</c:v>
                </c:pt>
                <c:pt idx="38">
                  <c:v>39.979999999999997</c:v>
                </c:pt>
                <c:pt idx="39">
                  <c:v>40.25</c:v>
                </c:pt>
                <c:pt idx="40">
                  <c:v>39.590000000000003</c:v>
                </c:pt>
                <c:pt idx="41">
                  <c:v>39.68</c:v>
                </c:pt>
                <c:pt idx="42">
                  <c:v>39.83</c:v>
                </c:pt>
                <c:pt idx="43">
                  <c:v>39.57</c:v>
                </c:pt>
                <c:pt idx="44">
                  <c:v>40.17</c:v>
                </c:pt>
                <c:pt idx="45">
                  <c:v>41.34</c:v>
                </c:pt>
                <c:pt idx="46">
                  <c:v>38.42</c:v>
                </c:pt>
                <c:pt idx="47">
                  <c:v>37.97</c:v>
                </c:pt>
                <c:pt idx="48">
                  <c:v>35.53</c:v>
                </c:pt>
                <c:pt idx="49">
                  <c:v>39.130000000000003</c:v>
                </c:pt>
                <c:pt idx="50">
                  <c:v>37.83</c:v>
                </c:pt>
                <c:pt idx="51">
                  <c:v>37</c:v>
                </c:pt>
                <c:pt idx="52">
                  <c:v>37.21</c:v>
                </c:pt>
                <c:pt idx="53">
                  <c:v>37.49</c:v>
                </c:pt>
                <c:pt idx="54">
                  <c:v>37.700000000000003</c:v>
                </c:pt>
                <c:pt idx="55">
                  <c:v>38.869999999999997</c:v>
                </c:pt>
                <c:pt idx="56">
                  <c:v>38.24</c:v>
                </c:pt>
                <c:pt idx="57">
                  <c:v>35.71</c:v>
                </c:pt>
                <c:pt idx="58">
                  <c:v>37.97</c:v>
                </c:pt>
                <c:pt idx="59">
                  <c:v>37.729999999999997</c:v>
                </c:pt>
                <c:pt idx="60">
                  <c:v>38.06</c:v>
                </c:pt>
                <c:pt idx="61">
                  <c:v>37.99</c:v>
                </c:pt>
                <c:pt idx="62">
                  <c:v>38.74</c:v>
                </c:pt>
                <c:pt idx="63">
                  <c:v>38.11</c:v>
                </c:pt>
                <c:pt idx="64">
                  <c:v>38.25</c:v>
                </c:pt>
                <c:pt idx="65">
                  <c:v>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1664"/>
        <c:axId val="664502056"/>
      </c:lineChart>
      <c:dateAx>
        <c:axId val="66450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2056"/>
        <c:crosses val="autoZero"/>
        <c:auto val="1"/>
        <c:lblOffset val="100"/>
        <c:baseTimeUnit val="days"/>
      </c:dateAx>
      <c:valAx>
        <c:axId val="6645020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226.74</c:v>
                </c:pt>
                <c:pt idx="1">
                  <c:v>225.91</c:v>
                </c:pt>
                <c:pt idx="2">
                  <c:v>226.75</c:v>
                </c:pt>
                <c:pt idx="3">
                  <c:v>226.25</c:v>
                </c:pt>
                <c:pt idx="4">
                  <c:v>227.05</c:v>
                </c:pt>
                <c:pt idx="5">
                  <c:v>226.53</c:v>
                </c:pt>
                <c:pt idx="6">
                  <c:v>227.1</c:v>
                </c:pt>
                <c:pt idx="7">
                  <c:v>226.46</c:v>
                </c:pt>
                <c:pt idx="8">
                  <c:v>226.46</c:v>
                </c:pt>
                <c:pt idx="9">
                  <c:v>227.21</c:v>
                </c:pt>
                <c:pt idx="10">
                  <c:v>226.4</c:v>
                </c:pt>
                <c:pt idx="11">
                  <c:v>226.58</c:v>
                </c:pt>
                <c:pt idx="12">
                  <c:v>225.24</c:v>
                </c:pt>
                <c:pt idx="13">
                  <c:v>223.53</c:v>
                </c:pt>
                <c:pt idx="14">
                  <c:v>224.35</c:v>
                </c:pt>
                <c:pt idx="15">
                  <c:v>224.4</c:v>
                </c:pt>
                <c:pt idx="16">
                  <c:v>226.27</c:v>
                </c:pt>
                <c:pt idx="17">
                  <c:v>225.71</c:v>
                </c:pt>
                <c:pt idx="18">
                  <c:v>225.38</c:v>
                </c:pt>
                <c:pt idx="19">
                  <c:v>225.77</c:v>
                </c:pt>
                <c:pt idx="20">
                  <c:v>226.4</c:v>
                </c:pt>
                <c:pt idx="21">
                  <c:v>225.53</c:v>
                </c:pt>
                <c:pt idx="22">
                  <c:v>225.04</c:v>
                </c:pt>
                <c:pt idx="24">
                  <c:v>226.81</c:v>
                </c:pt>
                <c:pt idx="25">
                  <c:v>225.88</c:v>
                </c:pt>
                <c:pt idx="26">
                  <c:v>227.76</c:v>
                </c:pt>
                <c:pt idx="27">
                  <c:v>226.25</c:v>
                </c:pt>
                <c:pt idx="28">
                  <c:v>226.51</c:v>
                </c:pt>
                <c:pt idx="29">
                  <c:v>225.15</c:v>
                </c:pt>
                <c:pt idx="30">
                  <c:v>224.6</c:v>
                </c:pt>
                <c:pt idx="31">
                  <c:v>221.7</c:v>
                </c:pt>
                <c:pt idx="32">
                  <c:v>221</c:v>
                </c:pt>
                <c:pt idx="33">
                  <c:v>219.68</c:v>
                </c:pt>
                <c:pt idx="34">
                  <c:v>219.57</c:v>
                </c:pt>
                <c:pt idx="35">
                  <c:v>220.38</c:v>
                </c:pt>
                <c:pt idx="36">
                  <c:v>220.91</c:v>
                </c:pt>
                <c:pt idx="37">
                  <c:v>220.48</c:v>
                </c:pt>
                <c:pt idx="38">
                  <c:v>221.52</c:v>
                </c:pt>
                <c:pt idx="39">
                  <c:v>220.7</c:v>
                </c:pt>
                <c:pt idx="40">
                  <c:v>220.58</c:v>
                </c:pt>
                <c:pt idx="41">
                  <c:v>220.15</c:v>
                </c:pt>
                <c:pt idx="42">
                  <c:v>218.5</c:v>
                </c:pt>
                <c:pt idx="43">
                  <c:v>218.99</c:v>
                </c:pt>
                <c:pt idx="44">
                  <c:v>217.87</c:v>
                </c:pt>
                <c:pt idx="45">
                  <c:v>218.28</c:v>
                </c:pt>
                <c:pt idx="46">
                  <c:v>216.59</c:v>
                </c:pt>
                <c:pt idx="47">
                  <c:v>216.42</c:v>
                </c:pt>
                <c:pt idx="48">
                  <c:v>216.92</c:v>
                </c:pt>
                <c:pt idx="49">
                  <c:v>216.38</c:v>
                </c:pt>
                <c:pt idx="50">
                  <c:v>214.11</c:v>
                </c:pt>
                <c:pt idx="51">
                  <c:v>213.15</c:v>
                </c:pt>
                <c:pt idx="52">
                  <c:v>208.55</c:v>
                </c:pt>
                <c:pt idx="53">
                  <c:v>208.78</c:v>
                </c:pt>
                <c:pt idx="54">
                  <c:v>209.74</c:v>
                </c:pt>
                <c:pt idx="55">
                  <c:v>211.01</c:v>
                </c:pt>
                <c:pt idx="56">
                  <c:v>212.55</c:v>
                </c:pt>
                <c:pt idx="57">
                  <c:v>212.54</c:v>
                </c:pt>
                <c:pt idx="58">
                  <c:v>213.17</c:v>
                </c:pt>
                <c:pt idx="59">
                  <c:v>213.74</c:v>
                </c:pt>
                <c:pt idx="60">
                  <c:v>214.17</c:v>
                </c:pt>
                <c:pt idx="61">
                  <c:v>214.89</c:v>
                </c:pt>
                <c:pt idx="62">
                  <c:v>213.98</c:v>
                </c:pt>
                <c:pt idx="63">
                  <c:v>213.88</c:v>
                </c:pt>
                <c:pt idx="64">
                  <c:v>214.28</c:v>
                </c:pt>
                <c:pt idx="65">
                  <c:v>213.71</c:v>
                </c:pt>
                <c:pt idx="66" formatCode="General">
                  <c:v>212.38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4016"/>
        <c:axId val="664504408"/>
      </c:lineChart>
      <c:dateAx>
        <c:axId val="66450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4408"/>
        <c:crosses val="autoZero"/>
        <c:auto val="1"/>
        <c:lblOffset val="100"/>
        <c:baseTimeUnit val="days"/>
      </c:dateAx>
      <c:valAx>
        <c:axId val="6645044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88.67</c:v>
                </c:pt>
                <c:pt idx="1">
                  <c:v>78.459999999999994</c:v>
                </c:pt>
                <c:pt idx="2">
                  <c:v>79.27</c:v>
                </c:pt>
                <c:pt idx="3">
                  <c:v>76.89</c:v>
                </c:pt>
                <c:pt idx="4">
                  <c:v>78.33</c:v>
                </c:pt>
                <c:pt idx="5">
                  <c:v>76.75</c:v>
                </c:pt>
                <c:pt idx="6">
                  <c:v>78.41</c:v>
                </c:pt>
                <c:pt idx="7">
                  <c:v>77.31</c:v>
                </c:pt>
                <c:pt idx="8">
                  <c:v>75.650000000000006</c:v>
                </c:pt>
                <c:pt idx="9">
                  <c:v>74.959999999999994</c:v>
                </c:pt>
                <c:pt idx="10">
                  <c:v>74.569999999999993</c:v>
                </c:pt>
                <c:pt idx="11">
                  <c:v>74.989999999999995</c:v>
                </c:pt>
                <c:pt idx="12">
                  <c:v>75.150000000000006</c:v>
                </c:pt>
                <c:pt idx="13">
                  <c:v>74.66</c:v>
                </c:pt>
                <c:pt idx="14">
                  <c:v>76.56</c:v>
                </c:pt>
                <c:pt idx="15">
                  <c:v>77.03</c:v>
                </c:pt>
                <c:pt idx="16">
                  <c:v>78.33</c:v>
                </c:pt>
                <c:pt idx="17">
                  <c:v>78.03</c:v>
                </c:pt>
                <c:pt idx="18">
                  <c:v>78.150000000000006</c:v>
                </c:pt>
                <c:pt idx="19">
                  <c:v>77.069999999999993</c:v>
                </c:pt>
                <c:pt idx="20">
                  <c:v>76.61</c:v>
                </c:pt>
                <c:pt idx="21">
                  <c:v>77.44</c:v>
                </c:pt>
                <c:pt idx="22">
                  <c:v>76.81</c:v>
                </c:pt>
                <c:pt idx="23">
                  <c:v>77.209999999999994</c:v>
                </c:pt>
                <c:pt idx="24">
                  <c:v>75.14</c:v>
                </c:pt>
                <c:pt idx="25">
                  <c:v>76.88</c:v>
                </c:pt>
                <c:pt idx="26">
                  <c:v>76.260000000000005</c:v>
                </c:pt>
                <c:pt idx="27">
                  <c:v>76.930000000000007</c:v>
                </c:pt>
                <c:pt idx="28">
                  <c:v>79.52</c:v>
                </c:pt>
                <c:pt idx="29">
                  <c:v>77.34</c:v>
                </c:pt>
                <c:pt idx="30">
                  <c:v>76.17</c:v>
                </c:pt>
                <c:pt idx="31">
                  <c:v>74.819999999999993</c:v>
                </c:pt>
                <c:pt idx="32">
                  <c:v>73.34</c:v>
                </c:pt>
                <c:pt idx="33">
                  <c:v>71.78</c:v>
                </c:pt>
                <c:pt idx="34">
                  <c:v>76.849999999999994</c:v>
                </c:pt>
                <c:pt idx="35">
                  <c:v>77.22</c:v>
                </c:pt>
                <c:pt idx="36">
                  <c:v>77.3</c:v>
                </c:pt>
                <c:pt idx="37">
                  <c:v>77.010000000000005</c:v>
                </c:pt>
                <c:pt idx="38">
                  <c:v>78.31</c:v>
                </c:pt>
                <c:pt idx="39">
                  <c:v>79.36</c:v>
                </c:pt>
                <c:pt idx="40">
                  <c:v>78.930000000000007</c:v>
                </c:pt>
                <c:pt idx="41">
                  <c:v>78.209999999999994</c:v>
                </c:pt>
                <c:pt idx="42">
                  <c:v>77.95</c:v>
                </c:pt>
                <c:pt idx="43">
                  <c:v>76.12</c:v>
                </c:pt>
                <c:pt idx="44">
                  <c:v>75.930000000000007</c:v>
                </c:pt>
                <c:pt idx="46">
                  <c:v>74.040000000000006</c:v>
                </c:pt>
                <c:pt idx="47">
                  <c:v>74.510000000000005</c:v>
                </c:pt>
                <c:pt idx="48">
                  <c:v>75.91</c:v>
                </c:pt>
                <c:pt idx="49">
                  <c:v>77.66</c:v>
                </c:pt>
                <c:pt idx="50">
                  <c:v>77.33</c:v>
                </c:pt>
                <c:pt idx="51">
                  <c:v>77.239999999999995</c:v>
                </c:pt>
                <c:pt idx="52">
                  <c:v>75.069999999999993</c:v>
                </c:pt>
                <c:pt idx="53">
                  <c:v>74.67</c:v>
                </c:pt>
                <c:pt idx="54">
                  <c:v>75.03</c:v>
                </c:pt>
                <c:pt idx="55">
                  <c:v>75.81</c:v>
                </c:pt>
                <c:pt idx="56">
                  <c:v>76.94</c:v>
                </c:pt>
                <c:pt idx="57">
                  <c:v>75.72</c:v>
                </c:pt>
                <c:pt idx="58">
                  <c:v>77.260000000000005</c:v>
                </c:pt>
                <c:pt idx="59">
                  <c:v>77.540000000000006</c:v>
                </c:pt>
                <c:pt idx="60">
                  <c:v>78.08</c:v>
                </c:pt>
                <c:pt idx="61">
                  <c:v>78.489999999999995</c:v>
                </c:pt>
                <c:pt idx="62">
                  <c:v>77.47</c:v>
                </c:pt>
                <c:pt idx="63">
                  <c:v>78.09</c:v>
                </c:pt>
                <c:pt idx="64">
                  <c:v>77.91</c:v>
                </c:pt>
                <c:pt idx="65">
                  <c:v>77.650000000000006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6368"/>
        <c:axId val="664506760"/>
      </c:lineChart>
      <c:dateAx>
        <c:axId val="66450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6760"/>
        <c:crosses val="autoZero"/>
        <c:auto val="1"/>
        <c:lblOffset val="100"/>
        <c:baseTimeUnit val="days"/>
      </c:dateAx>
      <c:valAx>
        <c:axId val="664506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70.12</c:v>
                </c:pt>
                <c:pt idx="1">
                  <c:v>68.819999999999993</c:v>
                </c:pt>
                <c:pt idx="2">
                  <c:v>69.75</c:v>
                </c:pt>
                <c:pt idx="3">
                  <c:v>70.3</c:v>
                </c:pt>
                <c:pt idx="4">
                  <c:v>71</c:v>
                </c:pt>
                <c:pt idx="5">
                  <c:v>70.569999999999993</c:v>
                </c:pt>
                <c:pt idx="6">
                  <c:v>70.5</c:v>
                </c:pt>
                <c:pt idx="7">
                  <c:v>69.290000000000006</c:v>
                </c:pt>
                <c:pt idx="8">
                  <c:v>68.77</c:v>
                </c:pt>
                <c:pt idx="9">
                  <c:v>69.12</c:v>
                </c:pt>
                <c:pt idx="10">
                  <c:v>69.45</c:v>
                </c:pt>
                <c:pt idx="11">
                  <c:v>68.92</c:v>
                </c:pt>
                <c:pt idx="12">
                  <c:v>67.349999999999994</c:v>
                </c:pt>
                <c:pt idx="13">
                  <c:v>67.400000000000006</c:v>
                </c:pt>
                <c:pt idx="14">
                  <c:v>67.989999999999995</c:v>
                </c:pt>
                <c:pt idx="15">
                  <c:v>67.650000000000006</c:v>
                </c:pt>
                <c:pt idx="16">
                  <c:v>67.760000000000005</c:v>
                </c:pt>
                <c:pt idx="17">
                  <c:v>67.61</c:v>
                </c:pt>
                <c:pt idx="18">
                  <c:v>67.78</c:v>
                </c:pt>
                <c:pt idx="19">
                  <c:v>68</c:v>
                </c:pt>
                <c:pt idx="20">
                  <c:v>67.900000000000006</c:v>
                </c:pt>
                <c:pt idx="21">
                  <c:v>67.099999999999994</c:v>
                </c:pt>
                <c:pt idx="22">
                  <c:v>67.08</c:v>
                </c:pt>
                <c:pt idx="23">
                  <c:v>67.12</c:v>
                </c:pt>
                <c:pt idx="24">
                  <c:v>66.95</c:v>
                </c:pt>
                <c:pt idx="25">
                  <c:v>68.430000000000007</c:v>
                </c:pt>
                <c:pt idx="26">
                  <c:v>68.16</c:v>
                </c:pt>
                <c:pt idx="27">
                  <c:v>69.52</c:v>
                </c:pt>
                <c:pt idx="28">
                  <c:v>69.849999999999994</c:v>
                </c:pt>
                <c:pt idx="29">
                  <c:v>69.16</c:v>
                </c:pt>
                <c:pt idx="31">
                  <c:v>67.7</c:v>
                </c:pt>
                <c:pt idx="32">
                  <c:v>67.77</c:v>
                </c:pt>
                <c:pt idx="33">
                  <c:v>67.459999999999994</c:v>
                </c:pt>
                <c:pt idx="34">
                  <c:v>67.75</c:v>
                </c:pt>
                <c:pt idx="35">
                  <c:v>66.83</c:v>
                </c:pt>
                <c:pt idx="36">
                  <c:v>66.790000000000006</c:v>
                </c:pt>
                <c:pt idx="37">
                  <c:v>66.63</c:v>
                </c:pt>
                <c:pt idx="38">
                  <c:v>66.72</c:v>
                </c:pt>
                <c:pt idx="39">
                  <c:v>66.05</c:v>
                </c:pt>
                <c:pt idx="40">
                  <c:v>66.099999999999994</c:v>
                </c:pt>
                <c:pt idx="41">
                  <c:v>65.97</c:v>
                </c:pt>
                <c:pt idx="42">
                  <c:v>64.39</c:v>
                </c:pt>
                <c:pt idx="43">
                  <c:v>64.180000000000007</c:v>
                </c:pt>
                <c:pt idx="44">
                  <c:v>63.49</c:v>
                </c:pt>
                <c:pt idx="45">
                  <c:v>64.33</c:v>
                </c:pt>
                <c:pt idx="46">
                  <c:v>63.75</c:v>
                </c:pt>
                <c:pt idx="47">
                  <c:v>63.25</c:v>
                </c:pt>
                <c:pt idx="48">
                  <c:v>64.709999999999994</c:v>
                </c:pt>
                <c:pt idx="49">
                  <c:v>63.31</c:v>
                </c:pt>
                <c:pt idx="50">
                  <c:v>63.93</c:v>
                </c:pt>
                <c:pt idx="51">
                  <c:v>63.52</c:v>
                </c:pt>
                <c:pt idx="52">
                  <c:v>61.95</c:v>
                </c:pt>
                <c:pt idx="53">
                  <c:v>62.36</c:v>
                </c:pt>
                <c:pt idx="54">
                  <c:v>62.3</c:v>
                </c:pt>
                <c:pt idx="55">
                  <c:v>62.08</c:v>
                </c:pt>
                <c:pt idx="56">
                  <c:v>62.87</c:v>
                </c:pt>
                <c:pt idx="57">
                  <c:v>63.1</c:v>
                </c:pt>
                <c:pt idx="58">
                  <c:v>63.41</c:v>
                </c:pt>
                <c:pt idx="59">
                  <c:v>63.09</c:v>
                </c:pt>
                <c:pt idx="60">
                  <c:v>65.69</c:v>
                </c:pt>
                <c:pt idx="61">
                  <c:v>65.56</c:v>
                </c:pt>
                <c:pt idx="62">
                  <c:v>65.58</c:v>
                </c:pt>
                <c:pt idx="63">
                  <c:v>65.67</c:v>
                </c:pt>
                <c:pt idx="64">
                  <c:v>66.790000000000006</c:v>
                </c:pt>
                <c:pt idx="65">
                  <c:v>66.95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8720"/>
        <c:axId val="664509112"/>
      </c:lineChart>
      <c:dateAx>
        <c:axId val="664508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9112"/>
        <c:crosses val="autoZero"/>
        <c:auto val="1"/>
        <c:lblOffset val="100"/>
        <c:baseTimeUnit val="days"/>
      </c:dateAx>
      <c:valAx>
        <c:axId val="664509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55.07</c:v>
                </c:pt>
                <c:pt idx="1">
                  <c:v>54.58</c:v>
                </c:pt>
                <c:pt idx="2">
                  <c:v>54.27</c:v>
                </c:pt>
                <c:pt idx="3">
                  <c:v>53.78</c:v>
                </c:pt>
                <c:pt idx="4">
                  <c:v>55.31</c:v>
                </c:pt>
                <c:pt idx="5">
                  <c:v>54.5</c:v>
                </c:pt>
                <c:pt idx="6">
                  <c:v>54.8</c:v>
                </c:pt>
                <c:pt idx="7">
                  <c:v>54.62</c:v>
                </c:pt>
                <c:pt idx="8">
                  <c:v>54.24</c:v>
                </c:pt>
                <c:pt idx="9">
                  <c:v>55.04</c:v>
                </c:pt>
                <c:pt idx="10">
                  <c:v>55.18</c:v>
                </c:pt>
                <c:pt idx="11">
                  <c:v>56.05</c:v>
                </c:pt>
                <c:pt idx="12">
                  <c:v>56</c:v>
                </c:pt>
                <c:pt idx="13">
                  <c:v>55.11</c:v>
                </c:pt>
                <c:pt idx="14">
                  <c:v>54.84</c:v>
                </c:pt>
                <c:pt idx="15">
                  <c:v>55.32</c:v>
                </c:pt>
                <c:pt idx="16">
                  <c:v>55.95</c:v>
                </c:pt>
                <c:pt idx="17">
                  <c:v>55.96</c:v>
                </c:pt>
                <c:pt idx="18">
                  <c:v>55.75</c:v>
                </c:pt>
                <c:pt idx="19">
                  <c:v>55.71</c:v>
                </c:pt>
                <c:pt idx="20">
                  <c:v>56.1</c:v>
                </c:pt>
                <c:pt idx="21">
                  <c:v>55.22</c:v>
                </c:pt>
                <c:pt idx="22">
                  <c:v>55.34</c:v>
                </c:pt>
                <c:pt idx="23">
                  <c:v>55.19</c:v>
                </c:pt>
                <c:pt idx="24">
                  <c:v>54.7</c:v>
                </c:pt>
                <c:pt idx="25">
                  <c:v>55.84</c:v>
                </c:pt>
                <c:pt idx="26">
                  <c:v>55.78</c:v>
                </c:pt>
                <c:pt idx="27">
                  <c:v>57.14</c:v>
                </c:pt>
                <c:pt idx="28">
                  <c:v>57.29</c:v>
                </c:pt>
                <c:pt idx="29">
                  <c:v>57.28</c:v>
                </c:pt>
                <c:pt idx="30">
                  <c:v>55.55</c:v>
                </c:pt>
                <c:pt idx="31">
                  <c:v>54.35</c:v>
                </c:pt>
                <c:pt idx="32">
                  <c:v>53.58</c:v>
                </c:pt>
                <c:pt idx="33">
                  <c:v>54.34</c:v>
                </c:pt>
                <c:pt idx="34">
                  <c:v>52.92</c:v>
                </c:pt>
                <c:pt idx="35">
                  <c:v>51.86</c:v>
                </c:pt>
                <c:pt idx="36">
                  <c:v>51.58</c:v>
                </c:pt>
                <c:pt idx="37">
                  <c:v>52.62</c:v>
                </c:pt>
                <c:pt idx="38">
                  <c:v>52.16</c:v>
                </c:pt>
                <c:pt idx="39">
                  <c:v>52.22</c:v>
                </c:pt>
                <c:pt idx="40">
                  <c:v>52.12</c:v>
                </c:pt>
                <c:pt idx="41">
                  <c:v>52.82</c:v>
                </c:pt>
                <c:pt idx="42">
                  <c:v>52.49</c:v>
                </c:pt>
                <c:pt idx="43">
                  <c:v>51.68</c:v>
                </c:pt>
                <c:pt idx="44">
                  <c:v>52.59</c:v>
                </c:pt>
                <c:pt idx="45">
                  <c:v>53.22</c:v>
                </c:pt>
                <c:pt idx="46">
                  <c:v>51.73</c:v>
                </c:pt>
                <c:pt idx="47">
                  <c:v>51.63</c:v>
                </c:pt>
                <c:pt idx="48">
                  <c:v>47.99</c:v>
                </c:pt>
                <c:pt idx="49">
                  <c:v>45.54</c:v>
                </c:pt>
                <c:pt idx="50">
                  <c:v>45.4</c:v>
                </c:pt>
                <c:pt idx="51">
                  <c:v>44.6</c:v>
                </c:pt>
                <c:pt idx="52">
                  <c:v>45.34</c:v>
                </c:pt>
                <c:pt idx="53">
                  <c:v>45.24</c:v>
                </c:pt>
                <c:pt idx="55">
                  <c:v>45.99</c:v>
                </c:pt>
                <c:pt idx="56">
                  <c:v>46.01</c:v>
                </c:pt>
                <c:pt idx="57">
                  <c:v>46.23</c:v>
                </c:pt>
                <c:pt idx="58">
                  <c:v>46.41</c:v>
                </c:pt>
                <c:pt idx="59">
                  <c:v>46.15</c:v>
                </c:pt>
                <c:pt idx="60">
                  <c:v>45.72</c:v>
                </c:pt>
                <c:pt idx="61">
                  <c:v>45.52</c:v>
                </c:pt>
                <c:pt idx="62">
                  <c:v>45.09</c:v>
                </c:pt>
                <c:pt idx="63">
                  <c:v>44.93</c:v>
                </c:pt>
                <c:pt idx="64">
                  <c:v>45.26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11072"/>
        <c:axId val="664511464"/>
      </c:lineChart>
      <c:dateAx>
        <c:axId val="66451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11464"/>
        <c:crosses val="autoZero"/>
        <c:auto val="1"/>
        <c:lblOffset val="100"/>
        <c:baseTimeUnit val="days"/>
      </c:dateAx>
      <c:valAx>
        <c:axId val="6645114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1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17-Nov-16</c:v>
                </c:pt>
                <c:pt idx="43">
                  <c:v>16-Nov-16</c:v>
                </c:pt>
                <c:pt idx="44">
                  <c:v>15-Nov-16</c:v>
                </c:pt>
                <c:pt idx="45">
                  <c:v>14-Nov-16</c:v>
                </c:pt>
                <c:pt idx="46">
                  <c:v>11-Nov-16</c:v>
                </c:pt>
                <c:pt idx="47">
                  <c:v>10-Nov-16</c:v>
                </c:pt>
                <c:pt idx="48">
                  <c:v>9-Nov-16</c:v>
                </c:pt>
                <c:pt idx="49">
                  <c:v>8-Nov-16</c:v>
                </c:pt>
                <c:pt idx="50">
                  <c:v>7-Nov-16</c:v>
                </c:pt>
                <c:pt idx="51">
                  <c:v>4-Nov-16</c:v>
                </c:pt>
                <c:pt idx="52">
                  <c:v>3-Nov-16</c:v>
                </c:pt>
                <c:pt idx="53">
                  <c:v>2-Nov-16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35.659999999999997</c:v>
                </c:pt>
                <c:pt idx="1">
                  <c:v>35.42</c:v>
                </c:pt>
                <c:pt idx="2">
                  <c:v>34.81</c:v>
                </c:pt>
                <c:pt idx="3">
                  <c:v>32.64</c:v>
                </c:pt>
                <c:pt idx="4">
                  <c:v>33.01</c:v>
                </c:pt>
                <c:pt idx="5">
                  <c:v>33.04</c:v>
                </c:pt>
                <c:pt idx="6">
                  <c:v>31.97</c:v>
                </c:pt>
                <c:pt idx="7">
                  <c:v>30.98</c:v>
                </c:pt>
                <c:pt idx="8">
                  <c:v>29.48</c:v>
                </c:pt>
                <c:pt idx="9">
                  <c:v>30.68</c:v>
                </c:pt>
                <c:pt idx="10">
                  <c:v>30.65</c:v>
                </c:pt>
                <c:pt idx="11">
                  <c:v>30.26</c:v>
                </c:pt>
                <c:pt idx="12">
                  <c:v>28.83</c:v>
                </c:pt>
                <c:pt idx="13">
                  <c:v>28.08</c:v>
                </c:pt>
                <c:pt idx="14">
                  <c:v>28.89</c:v>
                </c:pt>
                <c:pt idx="15">
                  <c:v>29.43</c:v>
                </c:pt>
                <c:pt idx="16">
                  <c:v>29.65</c:v>
                </c:pt>
                <c:pt idx="17">
                  <c:v>29.71</c:v>
                </c:pt>
                <c:pt idx="18">
                  <c:v>29.75</c:v>
                </c:pt>
                <c:pt idx="19">
                  <c:v>30.43</c:v>
                </c:pt>
                <c:pt idx="20">
                  <c:v>30.16</c:v>
                </c:pt>
                <c:pt idx="21">
                  <c:v>29.29</c:v>
                </c:pt>
                <c:pt idx="22">
                  <c:v>29.4</c:v>
                </c:pt>
                <c:pt idx="23">
                  <c:v>29.79</c:v>
                </c:pt>
                <c:pt idx="24">
                  <c:v>30.45</c:v>
                </c:pt>
                <c:pt idx="25">
                  <c:v>30.24</c:v>
                </c:pt>
                <c:pt idx="26">
                  <c:v>31.24</c:v>
                </c:pt>
                <c:pt idx="27">
                  <c:v>32.049999999999997</c:v>
                </c:pt>
                <c:pt idx="28">
                  <c:v>31.31</c:v>
                </c:pt>
                <c:pt idx="29">
                  <c:v>30.9</c:v>
                </c:pt>
                <c:pt idx="30">
                  <c:v>31.15</c:v>
                </c:pt>
                <c:pt idx="31">
                  <c:v>31.22</c:v>
                </c:pt>
                <c:pt idx="32">
                  <c:v>29.04</c:v>
                </c:pt>
                <c:pt idx="33">
                  <c:v>28.88</c:v>
                </c:pt>
                <c:pt idx="34">
                  <c:v>28.97</c:v>
                </c:pt>
                <c:pt idx="35">
                  <c:v>29.73</c:v>
                </c:pt>
                <c:pt idx="36">
                  <c:v>30.86</c:v>
                </c:pt>
                <c:pt idx="37">
                  <c:v>31.7</c:v>
                </c:pt>
                <c:pt idx="38">
                  <c:v>31.51</c:v>
                </c:pt>
                <c:pt idx="39">
                  <c:v>31.34</c:v>
                </c:pt>
                <c:pt idx="40">
                  <c:v>30.69</c:v>
                </c:pt>
                <c:pt idx="41">
                  <c:v>30.42</c:v>
                </c:pt>
                <c:pt idx="42">
                  <c:v>31.85</c:v>
                </c:pt>
                <c:pt idx="43">
                  <c:v>31.42</c:v>
                </c:pt>
                <c:pt idx="44">
                  <c:v>30.21</c:v>
                </c:pt>
                <c:pt idx="45">
                  <c:v>29.62</c:v>
                </c:pt>
                <c:pt idx="46">
                  <c:v>29.3</c:v>
                </c:pt>
                <c:pt idx="47">
                  <c:v>29.1</c:v>
                </c:pt>
                <c:pt idx="48">
                  <c:v>28.72</c:v>
                </c:pt>
                <c:pt idx="49">
                  <c:v>26.4</c:v>
                </c:pt>
                <c:pt idx="50">
                  <c:v>25.08</c:v>
                </c:pt>
                <c:pt idx="51">
                  <c:v>25.2</c:v>
                </c:pt>
                <c:pt idx="52">
                  <c:v>24.15</c:v>
                </c:pt>
                <c:pt idx="53">
                  <c:v>22.91</c:v>
                </c:pt>
                <c:pt idx="55">
                  <c:v>23</c:v>
                </c:pt>
                <c:pt idx="56">
                  <c:v>21.44</c:v>
                </c:pt>
                <c:pt idx="57">
                  <c:v>21.4</c:v>
                </c:pt>
                <c:pt idx="58">
                  <c:v>21.2</c:v>
                </c:pt>
                <c:pt idx="59">
                  <c:v>21</c:v>
                </c:pt>
                <c:pt idx="60">
                  <c:v>21.25</c:v>
                </c:pt>
                <c:pt idx="61">
                  <c:v>21</c:v>
                </c:pt>
                <c:pt idx="62">
                  <c:v>21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54528"/>
        <c:axId val="710954920"/>
      </c:lineChart>
      <c:dateAx>
        <c:axId val="71095452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4920"/>
        <c:crosses val="autoZero"/>
        <c:auto val="0"/>
        <c:lblOffset val="100"/>
        <c:baseTimeUnit val="days"/>
      </c:dateAx>
      <c:valAx>
        <c:axId val="710954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17.760000000000002</c:v>
                </c:pt>
                <c:pt idx="1">
                  <c:v>17.829999999999998</c:v>
                </c:pt>
                <c:pt idx="2">
                  <c:v>18.28</c:v>
                </c:pt>
                <c:pt idx="3">
                  <c:v>17.97</c:v>
                </c:pt>
                <c:pt idx="4">
                  <c:v>18.100000000000001</c:v>
                </c:pt>
                <c:pt idx="5">
                  <c:v>18.16</c:v>
                </c:pt>
                <c:pt idx="6">
                  <c:v>17.95</c:v>
                </c:pt>
                <c:pt idx="7">
                  <c:v>18.21</c:v>
                </c:pt>
                <c:pt idx="8">
                  <c:v>17.809999999999999</c:v>
                </c:pt>
                <c:pt idx="9">
                  <c:v>17.579999999999998</c:v>
                </c:pt>
                <c:pt idx="10">
                  <c:v>18.260000000000002</c:v>
                </c:pt>
                <c:pt idx="11">
                  <c:v>18.14</c:v>
                </c:pt>
                <c:pt idx="12">
                  <c:v>17.84</c:v>
                </c:pt>
                <c:pt idx="13">
                  <c:v>18.670000000000002</c:v>
                </c:pt>
                <c:pt idx="14">
                  <c:v>18.489999999999998</c:v>
                </c:pt>
                <c:pt idx="15">
                  <c:v>17.86</c:v>
                </c:pt>
                <c:pt idx="16">
                  <c:v>14.51</c:v>
                </c:pt>
                <c:pt idx="17">
                  <c:v>14.15</c:v>
                </c:pt>
                <c:pt idx="18">
                  <c:v>14.02</c:v>
                </c:pt>
                <c:pt idx="19">
                  <c:v>14.6</c:v>
                </c:pt>
                <c:pt idx="20">
                  <c:v>14.7</c:v>
                </c:pt>
                <c:pt idx="21">
                  <c:v>14.48</c:v>
                </c:pt>
                <c:pt idx="22">
                  <c:v>14.57</c:v>
                </c:pt>
                <c:pt idx="23">
                  <c:v>14.9</c:v>
                </c:pt>
                <c:pt idx="24">
                  <c:v>15.29</c:v>
                </c:pt>
                <c:pt idx="25">
                  <c:v>15.51</c:v>
                </c:pt>
                <c:pt idx="26">
                  <c:v>15.58</c:v>
                </c:pt>
                <c:pt idx="27">
                  <c:v>16.72</c:v>
                </c:pt>
                <c:pt idx="28">
                  <c:v>17.010000000000002</c:v>
                </c:pt>
                <c:pt idx="29">
                  <c:v>15.71</c:v>
                </c:pt>
                <c:pt idx="30">
                  <c:v>15.4</c:v>
                </c:pt>
                <c:pt idx="31">
                  <c:v>15.29</c:v>
                </c:pt>
                <c:pt idx="32">
                  <c:v>14.85</c:v>
                </c:pt>
                <c:pt idx="33">
                  <c:v>14.4</c:v>
                </c:pt>
                <c:pt idx="34">
                  <c:v>14.85</c:v>
                </c:pt>
                <c:pt idx="35">
                  <c:v>15.35</c:v>
                </c:pt>
                <c:pt idx="36">
                  <c:v>15.74</c:v>
                </c:pt>
                <c:pt idx="37">
                  <c:v>16.02</c:v>
                </c:pt>
                <c:pt idx="38">
                  <c:v>16.350000000000001</c:v>
                </c:pt>
                <c:pt idx="39">
                  <c:v>16.71</c:v>
                </c:pt>
                <c:pt idx="40">
                  <c:v>16.29</c:v>
                </c:pt>
                <c:pt idx="41">
                  <c:v>16.39</c:v>
                </c:pt>
                <c:pt idx="42">
                  <c:v>16.97</c:v>
                </c:pt>
                <c:pt idx="43">
                  <c:v>17.23</c:v>
                </c:pt>
                <c:pt idx="44">
                  <c:v>17.399999999999999</c:v>
                </c:pt>
                <c:pt idx="45">
                  <c:v>17.93</c:v>
                </c:pt>
                <c:pt idx="46">
                  <c:v>16.62</c:v>
                </c:pt>
                <c:pt idx="47">
                  <c:v>16.55</c:v>
                </c:pt>
                <c:pt idx="48">
                  <c:v>16.03</c:v>
                </c:pt>
                <c:pt idx="49">
                  <c:v>15.7</c:v>
                </c:pt>
                <c:pt idx="50">
                  <c:v>15.92</c:v>
                </c:pt>
                <c:pt idx="51">
                  <c:v>15.57</c:v>
                </c:pt>
                <c:pt idx="52">
                  <c:v>15.15</c:v>
                </c:pt>
                <c:pt idx="53">
                  <c:v>14.67</c:v>
                </c:pt>
                <c:pt idx="54">
                  <c:v>16.329999999999998</c:v>
                </c:pt>
                <c:pt idx="55">
                  <c:v>16.75</c:v>
                </c:pt>
                <c:pt idx="56">
                  <c:v>16.309999999999999</c:v>
                </c:pt>
                <c:pt idx="57">
                  <c:v>16.37</c:v>
                </c:pt>
                <c:pt idx="58">
                  <c:v>16.72</c:v>
                </c:pt>
                <c:pt idx="59">
                  <c:v>16.62</c:v>
                </c:pt>
                <c:pt idx="60">
                  <c:v>17.2</c:v>
                </c:pt>
                <c:pt idx="61">
                  <c:v>17.38</c:v>
                </c:pt>
                <c:pt idx="62">
                  <c:v>17.62</c:v>
                </c:pt>
                <c:pt idx="63">
                  <c:v>17.95</c:v>
                </c:pt>
                <c:pt idx="64">
                  <c:v>17.61</c:v>
                </c:pt>
                <c:pt idx="65">
                  <c:v>17.23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56880"/>
        <c:axId val="710957272"/>
      </c:lineChart>
      <c:dateAx>
        <c:axId val="71095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7272"/>
        <c:crosses val="autoZero"/>
        <c:auto val="1"/>
        <c:lblOffset val="100"/>
        <c:baseTimeUnit val="days"/>
      </c:dateAx>
      <c:valAx>
        <c:axId val="7109572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34.200000000000003</c:v>
                </c:pt>
                <c:pt idx="1">
                  <c:v>32.25</c:v>
                </c:pt>
                <c:pt idx="2">
                  <c:v>32.32</c:v>
                </c:pt>
                <c:pt idx="3">
                  <c:v>32.89</c:v>
                </c:pt>
                <c:pt idx="4">
                  <c:v>33.979999999999997</c:v>
                </c:pt>
                <c:pt idx="5">
                  <c:v>34.51</c:v>
                </c:pt>
                <c:pt idx="6">
                  <c:v>34.19</c:v>
                </c:pt>
                <c:pt idx="7">
                  <c:v>32.729999999999997</c:v>
                </c:pt>
                <c:pt idx="8">
                  <c:v>33.770000000000003</c:v>
                </c:pt>
                <c:pt idx="9">
                  <c:v>33.47</c:v>
                </c:pt>
                <c:pt idx="10">
                  <c:v>33.049999999999997</c:v>
                </c:pt>
                <c:pt idx="11">
                  <c:v>33.04</c:v>
                </c:pt>
                <c:pt idx="12">
                  <c:v>31.87</c:v>
                </c:pt>
                <c:pt idx="13">
                  <c:v>31.48</c:v>
                </c:pt>
                <c:pt idx="14">
                  <c:v>31.9</c:v>
                </c:pt>
                <c:pt idx="15">
                  <c:v>31.63</c:v>
                </c:pt>
                <c:pt idx="16">
                  <c:v>31.95</c:v>
                </c:pt>
                <c:pt idx="17">
                  <c:v>30.71</c:v>
                </c:pt>
                <c:pt idx="18">
                  <c:v>30.11</c:v>
                </c:pt>
                <c:pt idx="19">
                  <c:v>28.9</c:v>
                </c:pt>
                <c:pt idx="20">
                  <c:v>28.99</c:v>
                </c:pt>
                <c:pt idx="21">
                  <c:v>28.29</c:v>
                </c:pt>
                <c:pt idx="22">
                  <c:v>29.48</c:v>
                </c:pt>
                <c:pt idx="23">
                  <c:v>28.65</c:v>
                </c:pt>
                <c:pt idx="24">
                  <c:v>28.11</c:v>
                </c:pt>
                <c:pt idx="25">
                  <c:v>28.41</c:v>
                </c:pt>
                <c:pt idx="26">
                  <c:v>29</c:v>
                </c:pt>
                <c:pt idx="27">
                  <c:v>30.95</c:v>
                </c:pt>
                <c:pt idx="28">
                  <c:v>30.37</c:v>
                </c:pt>
                <c:pt idx="29">
                  <c:v>29.72</c:v>
                </c:pt>
                <c:pt idx="30">
                  <c:v>28.57</c:v>
                </c:pt>
                <c:pt idx="31">
                  <c:v>28.58</c:v>
                </c:pt>
                <c:pt idx="32">
                  <c:v>28.38</c:v>
                </c:pt>
                <c:pt idx="33">
                  <c:v>28.72</c:v>
                </c:pt>
                <c:pt idx="34">
                  <c:v>28.94</c:v>
                </c:pt>
                <c:pt idx="35">
                  <c:v>27.43</c:v>
                </c:pt>
                <c:pt idx="36">
                  <c:v>28.19</c:v>
                </c:pt>
                <c:pt idx="37">
                  <c:v>28.55</c:v>
                </c:pt>
                <c:pt idx="38">
                  <c:v>28.38</c:v>
                </c:pt>
                <c:pt idx="39">
                  <c:v>28.39</c:v>
                </c:pt>
                <c:pt idx="40">
                  <c:v>29.87</c:v>
                </c:pt>
                <c:pt idx="41">
                  <c:v>28.96</c:v>
                </c:pt>
                <c:pt idx="42">
                  <c:v>27.09</c:v>
                </c:pt>
                <c:pt idx="43">
                  <c:v>27.44</c:v>
                </c:pt>
                <c:pt idx="44">
                  <c:v>27.8</c:v>
                </c:pt>
                <c:pt idx="45">
                  <c:v>28.2</c:v>
                </c:pt>
                <c:pt idx="46">
                  <c:v>27.78</c:v>
                </c:pt>
                <c:pt idx="47">
                  <c:v>27.13</c:v>
                </c:pt>
                <c:pt idx="49">
                  <c:v>26.48</c:v>
                </c:pt>
                <c:pt idx="50">
                  <c:v>24.34</c:v>
                </c:pt>
                <c:pt idx="51">
                  <c:v>23.29</c:v>
                </c:pt>
                <c:pt idx="52">
                  <c:v>23.11</c:v>
                </c:pt>
                <c:pt idx="53">
                  <c:v>22.6</c:v>
                </c:pt>
                <c:pt idx="54">
                  <c:v>24.7</c:v>
                </c:pt>
                <c:pt idx="55">
                  <c:v>24.89</c:v>
                </c:pt>
                <c:pt idx="56">
                  <c:v>24.01</c:v>
                </c:pt>
                <c:pt idx="57">
                  <c:v>24.52</c:v>
                </c:pt>
                <c:pt idx="58">
                  <c:v>24.53</c:v>
                </c:pt>
                <c:pt idx="59">
                  <c:v>25.55</c:v>
                </c:pt>
                <c:pt idx="60">
                  <c:v>25.54</c:v>
                </c:pt>
                <c:pt idx="61">
                  <c:v>25.35</c:v>
                </c:pt>
                <c:pt idx="62">
                  <c:v>25.92</c:v>
                </c:pt>
                <c:pt idx="63">
                  <c:v>24.98</c:v>
                </c:pt>
                <c:pt idx="64">
                  <c:v>24.15</c:v>
                </c:pt>
                <c:pt idx="65">
                  <c:v>23.46</c:v>
                </c:pt>
                <c:pt idx="66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59232"/>
        <c:axId val="710959624"/>
      </c:lineChart>
      <c:dateAx>
        <c:axId val="71095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9624"/>
        <c:crosses val="autoZero"/>
        <c:auto val="1"/>
        <c:lblOffset val="100"/>
        <c:baseTimeUnit val="days"/>
      </c:dateAx>
      <c:valAx>
        <c:axId val="710959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5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64.099999999999994</c:v>
                </c:pt>
                <c:pt idx="1">
                  <c:v>65.39</c:v>
                </c:pt>
                <c:pt idx="2">
                  <c:v>66.849999999999994</c:v>
                </c:pt>
                <c:pt idx="3">
                  <c:v>70.94</c:v>
                </c:pt>
                <c:pt idx="4">
                  <c:v>70.19</c:v>
                </c:pt>
                <c:pt idx="5">
                  <c:v>71.25</c:v>
                </c:pt>
                <c:pt idx="6">
                  <c:v>71.61</c:v>
                </c:pt>
                <c:pt idx="7">
                  <c:v>71.430000000000007</c:v>
                </c:pt>
                <c:pt idx="8">
                  <c:v>71.430000000000007</c:v>
                </c:pt>
                <c:pt idx="9">
                  <c:v>71.44</c:v>
                </c:pt>
                <c:pt idx="10">
                  <c:v>72.56</c:v>
                </c:pt>
                <c:pt idx="11">
                  <c:v>73.81</c:v>
                </c:pt>
                <c:pt idx="12">
                  <c:v>72.75</c:v>
                </c:pt>
                <c:pt idx="13">
                  <c:v>72.23</c:v>
                </c:pt>
                <c:pt idx="14">
                  <c:v>72.62</c:v>
                </c:pt>
                <c:pt idx="15">
                  <c:v>72.83</c:v>
                </c:pt>
                <c:pt idx="16">
                  <c:v>73.7</c:v>
                </c:pt>
                <c:pt idx="17">
                  <c:v>73.5</c:v>
                </c:pt>
                <c:pt idx="18">
                  <c:v>73.739999999999995</c:v>
                </c:pt>
                <c:pt idx="19">
                  <c:v>77.13</c:v>
                </c:pt>
                <c:pt idx="20">
                  <c:v>77.650000000000006</c:v>
                </c:pt>
                <c:pt idx="21">
                  <c:v>77.040000000000006</c:v>
                </c:pt>
                <c:pt idx="22">
                  <c:v>76.75</c:v>
                </c:pt>
                <c:pt idx="23">
                  <c:v>76.98</c:v>
                </c:pt>
                <c:pt idx="24">
                  <c:v>77.19</c:v>
                </c:pt>
                <c:pt idx="25">
                  <c:v>77.67</c:v>
                </c:pt>
                <c:pt idx="26">
                  <c:v>76.739999999999995</c:v>
                </c:pt>
                <c:pt idx="27">
                  <c:v>77.39</c:v>
                </c:pt>
                <c:pt idx="28">
                  <c:v>77.84</c:v>
                </c:pt>
                <c:pt idx="29">
                  <c:v>76.97</c:v>
                </c:pt>
                <c:pt idx="30">
                  <c:v>76.77</c:v>
                </c:pt>
                <c:pt idx="31">
                  <c:v>76.98</c:v>
                </c:pt>
                <c:pt idx="32">
                  <c:v>77.94</c:v>
                </c:pt>
                <c:pt idx="33">
                  <c:v>77.819999999999993</c:v>
                </c:pt>
                <c:pt idx="34">
                  <c:v>77.239999999999995</c:v>
                </c:pt>
                <c:pt idx="35">
                  <c:v>78.41</c:v>
                </c:pt>
                <c:pt idx="36">
                  <c:v>77.72</c:v>
                </c:pt>
                <c:pt idx="37">
                  <c:v>78.61</c:v>
                </c:pt>
                <c:pt idx="38">
                  <c:v>78.48</c:v>
                </c:pt>
                <c:pt idx="39">
                  <c:v>77.87</c:v>
                </c:pt>
                <c:pt idx="40">
                  <c:v>76.510000000000005</c:v>
                </c:pt>
                <c:pt idx="41">
                  <c:v>76.19</c:v>
                </c:pt>
                <c:pt idx="42">
                  <c:v>76.13</c:v>
                </c:pt>
                <c:pt idx="43">
                  <c:v>76.03</c:v>
                </c:pt>
                <c:pt idx="44">
                  <c:v>71.44</c:v>
                </c:pt>
                <c:pt idx="45">
                  <c:v>72.17</c:v>
                </c:pt>
                <c:pt idx="47">
                  <c:v>71.349999999999994</c:v>
                </c:pt>
                <c:pt idx="48">
                  <c:v>70.540000000000006</c:v>
                </c:pt>
                <c:pt idx="49">
                  <c:v>68.81</c:v>
                </c:pt>
                <c:pt idx="50">
                  <c:v>67.05</c:v>
                </c:pt>
                <c:pt idx="51">
                  <c:v>67.53</c:v>
                </c:pt>
                <c:pt idx="52">
                  <c:v>66.53</c:v>
                </c:pt>
                <c:pt idx="53">
                  <c:v>66.67</c:v>
                </c:pt>
                <c:pt idx="54">
                  <c:v>68.260000000000005</c:v>
                </c:pt>
                <c:pt idx="55">
                  <c:v>67.78</c:v>
                </c:pt>
                <c:pt idx="56">
                  <c:v>68.73</c:v>
                </c:pt>
                <c:pt idx="57">
                  <c:v>68.83</c:v>
                </c:pt>
                <c:pt idx="58">
                  <c:v>67.62</c:v>
                </c:pt>
                <c:pt idx="59">
                  <c:v>68.59</c:v>
                </c:pt>
                <c:pt idx="60">
                  <c:v>67.95</c:v>
                </c:pt>
                <c:pt idx="61">
                  <c:v>68.260000000000005</c:v>
                </c:pt>
                <c:pt idx="62">
                  <c:v>68.23</c:v>
                </c:pt>
                <c:pt idx="63">
                  <c:v>67.709999999999994</c:v>
                </c:pt>
                <c:pt idx="64">
                  <c:v>67.53</c:v>
                </c:pt>
                <c:pt idx="65">
                  <c:v>67.36</c:v>
                </c:pt>
                <c:pt idx="66">
                  <c:v>67.239999999999995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61584"/>
        <c:axId val="710961976"/>
      </c:lineChart>
      <c:dateAx>
        <c:axId val="71096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1976"/>
        <c:crosses val="autoZero"/>
        <c:auto val="1"/>
        <c:lblOffset val="100"/>
        <c:baseTimeUnit val="days"/>
      </c:dateAx>
      <c:valAx>
        <c:axId val="710961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46.08</c:v>
                </c:pt>
                <c:pt idx="1">
                  <c:v>45.97</c:v>
                </c:pt>
                <c:pt idx="2">
                  <c:v>47.55</c:v>
                </c:pt>
                <c:pt idx="3">
                  <c:v>47.71</c:v>
                </c:pt>
                <c:pt idx="4">
                  <c:v>47</c:v>
                </c:pt>
                <c:pt idx="5">
                  <c:v>47.12</c:v>
                </c:pt>
                <c:pt idx="6">
                  <c:v>46.88</c:v>
                </c:pt>
                <c:pt idx="7">
                  <c:v>46.97</c:v>
                </c:pt>
                <c:pt idx="8">
                  <c:v>46.94</c:v>
                </c:pt>
                <c:pt idx="9">
                  <c:v>46.86</c:v>
                </c:pt>
                <c:pt idx="10">
                  <c:v>46.68</c:v>
                </c:pt>
                <c:pt idx="11">
                  <c:v>46.51</c:v>
                </c:pt>
                <c:pt idx="12">
                  <c:v>44.92</c:v>
                </c:pt>
                <c:pt idx="13">
                  <c:v>44.65</c:v>
                </c:pt>
                <c:pt idx="14">
                  <c:v>45.3</c:v>
                </c:pt>
                <c:pt idx="15">
                  <c:v>45.37</c:v>
                </c:pt>
                <c:pt idx="16">
                  <c:v>45.49</c:v>
                </c:pt>
                <c:pt idx="17">
                  <c:v>45.39</c:v>
                </c:pt>
                <c:pt idx="18">
                  <c:v>45.54</c:v>
                </c:pt>
                <c:pt idx="19">
                  <c:v>46.17</c:v>
                </c:pt>
                <c:pt idx="20">
                  <c:v>45.61</c:v>
                </c:pt>
                <c:pt idx="21">
                  <c:v>45.7</c:v>
                </c:pt>
                <c:pt idx="22">
                  <c:v>46.18</c:v>
                </c:pt>
                <c:pt idx="23">
                  <c:v>46.68</c:v>
                </c:pt>
                <c:pt idx="24">
                  <c:v>46.64</c:v>
                </c:pt>
                <c:pt idx="25">
                  <c:v>47.3</c:v>
                </c:pt>
                <c:pt idx="26">
                  <c:v>46.48</c:v>
                </c:pt>
                <c:pt idx="27">
                  <c:v>45.53</c:v>
                </c:pt>
                <c:pt idx="28">
                  <c:v>45.19</c:v>
                </c:pt>
                <c:pt idx="29">
                  <c:v>45.65</c:v>
                </c:pt>
                <c:pt idx="30">
                  <c:v>45.68</c:v>
                </c:pt>
                <c:pt idx="31">
                  <c:v>45.7</c:v>
                </c:pt>
                <c:pt idx="32">
                  <c:v>45.68</c:v>
                </c:pt>
                <c:pt idx="33">
                  <c:v>45.44</c:v>
                </c:pt>
                <c:pt idx="34">
                  <c:v>47.01</c:v>
                </c:pt>
                <c:pt idx="35">
                  <c:v>47.47</c:v>
                </c:pt>
                <c:pt idx="36">
                  <c:v>47.59</c:v>
                </c:pt>
                <c:pt idx="38">
                  <c:v>48.46</c:v>
                </c:pt>
                <c:pt idx="39">
                  <c:v>48.17</c:v>
                </c:pt>
                <c:pt idx="40">
                  <c:v>48.1</c:v>
                </c:pt>
                <c:pt idx="41">
                  <c:v>47.57</c:v>
                </c:pt>
                <c:pt idx="42">
                  <c:v>46.74</c:v>
                </c:pt>
                <c:pt idx="43">
                  <c:v>47.56</c:v>
                </c:pt>
                <c:pt idx="44">
                  <c:v>46.93</c:v>
                </c:pt>
                <c:pt idx="45">
                  <c:v>47.05</c:v>
                </c:pt>
                <c:pt idx="46">
                  <c:v>46.51</c:v>
                </c:pt>
                <c:pt idx="47">
                  <c:v>47.45</c:v>
                </c:pt>
                <c:pt idx="48">
                  <c:v>47.66</c:v>
                </c:pt>
                <c:pt idx="49">
                  <c:v>49.6</c:v>
                </c:pt>
                <c:pt idx="50">
                  <c:v>50.41</c:v>
                </c:pt>
                <c:pt idx="51">
                  <c:v>49.16</c:v>
                </c:pt>
                <c:pt idx="52">
                  <c:v>47.54</c:v>
                </c:pt>
                <c:pt idx="53">
                  <c:v>47.61</c:v>
                </c:pt>
                <c:pt idx="54">
                  <c:v>47.65</c:v>
                </c:pt>
                <c:pt idx="55">
                  <c:v>48.16</c:v>
                </c:pt>
                <c:pt idx="56">
                  <c:v>48.02</c:v>
                </c:pt>
                <c:pt idx="57">
                  <c:v>49.4</c:v>
                </c:pt>
                <c:pt idx="58">
                  <c:v>50.2</c:v>
                </c:pt>
                <c:pt idx="59">
                  <c:v>50.86</c:v>
                </c:pt>
                <c:pt idx="60">
                  <c:v>51.63</c:v>
                </c:pt>
                <c:pt idx="61">
                  <c:v>52.48</c:v>
                </c:pt>
                <c:pt idx="62">
                  <c:v>52.5</c:v>
                </c:pt>
                <c:pt idx="63">
                  <c:v>52.47</c:v>
                </c:pt>
                <c:pt idx="64">
                  <c:v>52.61</c:v>
                </c:pt>
                <c:pt idx="65">
                  <c:v>52.68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63936"/>
        <c:axId val="710964328"/>
      </c:lineChart>
      <c:dateAx>
        <c:axId val="71096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4328"/>
        <c:crosses val="autoZero"/>
        <c:auto val="1"/>
        <c:lblOffset val="100"/>
        <c:baseTimeUnit val="days"/>
      </c:dateAx>
      <c:valAx>
        <c:axId val="7109643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42.46</c:v>
                </c:pt>
                <c:pt idx="1">
                  <c:v>42.03</c:v>
                </c:pt>
                <c:pt idx="2">
                  <c:v>43.23</c:v>
                </c:pt>
                <c:pt idx="3">
                  <c:v>43.56</c:v>
                </c:pt>
                <c:pt idx="4">
                  <c:v>42.39</c:v>
                </c:pt>
                <c:pt idx="5">
                  <c:v>42.65</c:v>
                </c:pt>
                <c:pt idx="6">
                  <c:v>42.87</c:v>
                </c:pt>
                <c:pt idx="7">
                  <c:v>43.38</c:v>
                </c:pt>
                <c:pt idx="8">
                  <c:v>42.04</c:v>
                </c:pt>
                <c:pt idx="9">
                  <c:v>42.47</c:v>
                </c:pt>
                <c:pt idx="10">
                  <c:v>42.1</c:v>
                </c:pt>
                <c:pt idx="11">
                  <c:v>43.5</c:v>
                </c:pt>
                <c:pt idx="12">
                  <c:v>43.08</c:v>
                </c:pt>
                <c:pt idx="13">
                  <c:v>42.98</c:v>
                </c:pt>
                <c:pt idx="14">
                  <c:v>42.84</c:v>
                </c:pt>
                <c:pt idx="15">
                  <c:v>43.14</c:v>
                </c:pt>
                <c:pt idx="16">
                  <c:v>42.92</c:v>
                </c:pt>
                <c:pt idx="17">
                  <c:v>42.84</c:v>
                </c:pt>
                <c:pt idx="18">
                  <c:v>42.75</c:v>
                </c:pt>
                <c:pt idx="19">
                  <c:v>44.21</c:v>
                </c:pt>
                <c:pt idx="20">
                  <c:v>44.26</c:v>
                </c:pt>
                <c:pt idx="21">
                  <c:v>44.85</c:v>
                </c:pt>
                <c:pt idx="22">
                  <c:v>45.21</c:v>
                </c:pt>
                <c:pt idx="23">
                  <c:v>46.01</c:v>
                </c:pt>
                <c:pt idx="24">
                  <c:v>47.3</c:v>
                </c:pt>
                <c:pt idx="25">
                  <c:v>47.88</c:v>
                </c:pt>
                <c:pt idx="26">
                  <c:v>47.87</c:v>
                </c:pt>
                <c:pt idx="27">
                  <c:v>49.36</c:v>
                </c:pt>
                <c:pt idx="28">
                  <c:v>50.61</c:v>
                </c:pt>
                <c:pt idx="29">
                  <c:v>48.91</c:v>
                </c:pt>
                <c:pt idx="30">
                  <c:v>48.37</c:v>
                </c:pt>
                <c:pt idx="31">
                  <c:v>48.47</c:v>
                </c:pt>
                <c:pt idx="32">
                  <c:v>46.2</c:v>
                </c:pt>
                <c:pt idx="33">
                  <c:v>46.23</c:v>
                </c:pt>
                <c:pt idx="34">
                  <c:v>46.49</c:v>
                </c:pt>
                <c:pt idx="35">
                  <c:v>47.71</c:v>
                </c:pt>
                <c:pt idx="36">
                  <c:v>48.03</c:v>
                </c:pt>
                <c:pt idx="37">
                  <c:v>48.91</c:v>
                </c:pt>
                <c:pt idx="38">
                  <c:v>48.59</c:v>
                </c:pt>
                <c:pt idx="39">
                  <c:v>48.27</c:v>
                </c:pt>
                <c:pt idx="40">
                  <c:v>48.14</c:v>
                </c:pt>
                <c:pt idx="41">
                  <c:v>47.57</c:v>
                </c:pt>
                <c:pt idx="42">
                  <c:v>48.57</c:v>
                </c:pt>
                <c:pt idx="43">
                  <c:v>47.51</c:v>
                </c:pt>
                <c:pt idx="44">
                  <c:v>46.9</c:v>
                </c:pt>
                <c:pt idx="45">
                  <c:v>47.16</c:v>
                </c:pt>
                <c:pt idx="46">
                  <c:v>49.7</c:v>
                </c:pt>
                <c:pt idx="47">
                  <c:v>51.76</c:v>
                </c:pt>
                <c:pt idx="48">
                  <c:v>50.18</c:v>
                </c:pt>
                <c:pt idx="49">
                  <c:v>50.32</c:v>
                </c:pt>
                <c:pt idx="50">
                  <c:v>50.3</c:v>
                </c:pt>
                <c:pt idx="51">
                  <c:v>49.09</c:v>
                </c:pt>
                <c:pt idx="52">
                  <c:v>48.24</c:v>
                </c:pt>
                <c:pt idx="53">
                  <c:v>49.73</c:v>
                </c:pt>
                <c:pt idx="54">
                  <c:v>50.37</c:v>
                </c:pt>
                <c:pt idx="55">
                  <c:v>50.78</c:v>
                </c:pt>
                <c:pt idx="56">
                  <c:v>50.12</c:v>
                </c:pt>
                <c:pt idx="57">
                  <c:v>48.17</c:v>
                </c:pt>
                <c:pt idx="58">
                  <c:v>48.56</c:v>
                </c:pt>
                <c:pt idx="59">
                  <c:v>48.55</c:v>
                </c:pt>
                <c:pt idx="60">
                  <c:v>48.84</c:v>
                </c:pt>
                <c:pt idx="61">
                  <c:v>48.95</c:v>
                </c:pt>
                <c:pt idx="62">
                  <c:v>49.6</c:v>
                </c:pt>
                <c:pt idx="63">
                  <c:v>50.1</c:v>
                </c:pt>
                <c:pt idx="64">
                  <c:v>47.52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66288"/>
        <c:axId val="710966680"/>
      </c:lineChart>
      <c:dateAx>
        <c:axId val="71096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6680"/>
        <c:crosses val="autoZero"/>
        <c:auto val="1"/>
        <c:lblOffset val="100"/>
        <c:baseTimeUnit val="days"/>
      </c:dateAx>
      <c:valAx>
        <c:axId val="710966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74.540000000000006</c:v>
                </c:pt>
                <c:pt idx="1">
                  <c:v>74.22</c:v>
                </c:pt>
                <c:pt idx="2">
                  <c:v>74.52</c:v>
                </c:pt>
                <c:pt idx="3">
                  <c:v>73.849999999999994</c:v>
                </c:pt>
                <c:pt idx="4">
                  <c:v>73.89</c:v>
                </c:pt>
                <c:pt idx="5">
                  <c:v>73.680000000000007</c:v>
                </c:pt>
                <c:pt idx="6">
                  <c:v>73.94</c:v>
                </c:pt>
                <c:pt idx="7">
                  <c:v>73.75</c:v>
                </c:pt>
                <c:pt idx="8">
                  <c:v>73.09</c:v>
                </c:pt>
                <c:pt idx="9">
                  <c:v>74.150000000000006</c:v>
                </c:pt>
                <c:pt idx="10">
                  <c:v>74.03</c:v>
                </c:pt>
                <c:pt idx="11">
                  <c:v>74.37</c:v>
                </c:pt>
                <c:pt idx="12">
                  <c:v>74.17</c:v>
                </c:pt>
                <c:pt idx="13">
                  <c:v>74.12</c:v>
                </c:pt>
                <c:pt idx="14">
                  <c:v>74.28</c:v>
                </c:pt>
                <c:pt idx="15">
                  <c:v>74.349999999999994</c:v>
                </c:pt>
                <c:pt idx="16">
                  <c:v>74.510000000000005</c:v>
                </c:pt>
                <c:pt idx="17">
                  <c:v>74.58</c:v>
                </c:pt>
                <c:pt idx="18">
                  <c:v>74.48</c:v>
                </c:pt>
                <c:pt idx="19">
                  <c:v>74.44</c:v>
                </c:pt>
                <c:pt idx="20">
                  <c:v>74.48</c:v>
                </c:pt>
                <c:pt idx="21">
                  <c:v>74.37</c:v>
                </c:pt>
                <c:pt idx="22">
                  <c:v>74.11</c:v>
                </c:pt>
                <c:pt idx="23">
                  <c:v>73.540000000000006</c:v>
                </c:pt>
                <c:pt idx="24">
                  <c:v>72.61</c:v>
                </c:pt>
                <c:pt idx="25">
                  <c:v>72.930000000000007</c:v>
                </c:pt>
                <c:pt idx="26">
                  <c:v>72.819999999999993</c:v>
                </c:pt>
                <c:pt idx="27">
                  <c:v>72.47</c:v>
                </c:pt>
                <c:pt idx="28">
                  <c:v>71.67</c:v>
                </c:pt>
                <c:pt idx="29">
                  <c:v>71.650000000000006</c:v>
                </c:pt>
                <c:pt idx="30">
                  <c:v>70.95</c:v>
                </c:pt>
                <c:pt idx="31">
                  <c:v>70.36</c:v>
                </c:pt>
                <c:pt idx="32">
                  <c:v>70.61</c:v>
                </c:pt>
                <c:pt idx="33">
                  <c:v>70.349999999999994</c:v>
                </c:pt>
                <c:pt idx="34">
                  <c:v>69.92</c:v>
                </c:pt>
                <c:pt idx="35">
                  <c:v>69.63</c:v>
                </c:pt>
                <c:pt idx="36">
                  <c:v>72.040000000000006</c:v>
                </c:pt>
                <c:pt idx="38">
                  <c:v>72.38</c:v>
                </c:pt>
                <c:pt idx="39">
                  <c:v>72.400000000000006</c:v>
                </c:pt>
                <c:pt idx="40">
                  <c:v>72.37</c:v>
                </c:pt>
                <c:pt idx="41">
                  <c:v>72.180000000000007</c:v>
                </c:pt>
                <c:pt idx="42">
                  <c:v>72.02</c:v>
                </c:pt>
                <c:pt idx="43">
                  <c:v>71.78</c:v>
                </c:pt>
                <c:pt idx="44">
                  <c:v>70.72</c:v>
                </c:pt>
                <c:pt idx="45">
                  <c:v>71.3</c:v>
                </c:pt>
                <c:pt idx="46">
                  <c:v>70.69</c:v>
                </c:pt>
                <c:pt idx="47">
                  <c:v>69.64</c:v>
                </c:pt>
                <c:pt idx="48">
                  <c:v>69.45</c:v>
                </c:pt>
                <c:pt idx="49">
                  <c:v>68.17</c:v>
                </c:pt>
                <c:pt idx="50">
                  <c:v>67.58</c:v>
                </c:pt>
                <c:pt idx="51">
                  <c:v>66.86</c:v>
                </c:pt>
                <c:pt idx="52">
                  <c:v>66.72</c:v>
                </c:pt>
                <c:pt idx="53">
                  <c:v>68.09</c:v>
                </c:pt>
                <c:pt idx="54">
                  <c:v>67.34</c:v>
                </c:pt>
                <c:pt idx="55">
                  <c:v>67.209999999999994</c:v>
                </c:pt>
                <c:pt idx="56">
                  <c:v>67.900000000000006</c:v>
                </c:pt>
                <c:pt idx="57">
                  <c:v>67.53</c:v>
                </c:pt>
                <c:pt idx="58">
                  <c:v>67.59</c:v>
                </c:pt>
                <c:pt idx="59">
                  <c:v>67.94</c:v>
                </c:pt>
                <c:pt idx="60">
                  <c:v>67.61</c:v>
                </c:pt>
                <c:pt idx="61">
                  <c:v>67.72</c:v>
                </c:pt>
                <c:pt idx="62">
                  <c:v>67.55</c:v>
                </c:pt>
                <c:pt idx="63">
                  <c:v>68.23</c:v>
                </c:pt>
                <c:pt idx="64">
                  <c:v>69.430000000000007</c:v>
                </c:pt>
                <c:pt idx="65">
                  <c:v>69.290000000000006</c:v>
                </c:pt>
                <c:pt idx="66">
                  <c:v>69.34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68640"/>
        <c:axId val="710969032"/>
      </c:lineChart>
      <c:catAx>
        <c:axId val="71096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9032"/>
        <c:crosses val="autoZero"/>
        <c:auto val="1"/>
        <c:lblAlgn val="ctr"/>
        <c:lblOffset val="100"/>
        <c:noMultiLvlLbl val="0"/>
      </c:catAx>
      <c:valAx>
        <c:axId val="7109690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1/20/2017</c:v>
                </c:pt>
                <c:pt idx="1">
                  <c:v>1/19/2017</c:v>
                </c:pt>
                <c:pt idx="2">
                  <c:v>1/18/2017</c:v>
                </c:pt>
                <c:pt idx="3">
                  <c:v>1/17/2017</c:v>
                </c:pt>
                <c:pt idx="4">
                  <c:v>1/13/2017</c:v>
                </c:pt>
                <c:pt idx="5">
                  <c:v>1/12/2017</c:v>
                </c:pt>
                <c:pt idx="6">
                  <c:v>1/11/2017</c:v>
                </c:pt>
                <c:pt idx="7">
                  <c:v>1/10/2017</c:v>
                </c:pt>
                <c:pt idx="8">
                  <c:v>1/9/2017</c:v>
                </c:pt>
                <c:pt idx="9">
                  <c:v>1/6/2017</c:v>
                </c:pt>
                <c:pt idx="10">
                  <c:v>1/5/2017</c:v>
                </c:pt>
                <c:pt idx="11">
                  <c:v>1/4/2017</c:v>
                </c:pt>
                <c:pt idx="12">
                  <c:v>1/3/2017</c:v>
                </c:pt>
                <c:pt idx="13">
                  <c:v>12/30/2016</c:v>
                </c:pt>
                <c:pt idx="14">
                  <c:v>12/29/2016</c:v>
                </c:pt>
                <c:pt idx="15">
                  <c:v>12/28/2016</c:v>
                </c:pt>
                <c:pt idx="16">
                  <c:v>12/27/2016</c:v>
                </c:pt>
                <c:pt idx="17">
                  <c:v>12/23/2016</c:v>
                </c:pt>
                <c:pt idx="18">
                  <c:v>12/22/2016</c:v>
                </c:pt>
                <c:pt idx="19">
                  <c:v>12/21/2016</c:v>
                </c:pt>
                <c:pt idx="20">
                  <c:v>12/20/2016</c:v>
                </c:pt>
                <c:pt idx="21">
                  <c:v>12/19/2016</c:v>
                </c:pt>
                <c:pt idx="22">
                  <c:v>12/16/2016</c:v>
                </c:pt>
                <c:pt idx="23">
                  <c:v>12/15/2016</c:v>
                </c:pt>
                <c:pt idx="24">
                  <c:v>12/14/2016</c:v>
                </c:pt>
                <c:pt idx="25">
                  <c:v>12/13/2016</c:v>
                </c:pt>
                <c:pt idx="26">
                  <c:v>12/12/2016</c:v>
                </c:pt>
                <c:pt idx="27">
                  <c:v>12/9/2016</c:v>
                </c:pt>
                <c:pt idx="28">
                  <c:v>12/8/2016</c:v>
                </c:pt>
                <c:pt idx="29">
                  <c:v>12/7/2016</c:v>
                </c:pt>
                <c:pt idx="30">
                  <c:v>12/6/2016</c:v>
                </c:pt>
                <c:pt idx="31">
                  <c:v>12/5/2016</c:v>
                </c:pt>
                <c:pt idx="32">
                  <c:v>12/2/2016</c:v>
                </c:pt>
                <c:pt idx="33">
                  <c:v>12/1/2016</c:v>
                </c:pt>
                <c:pt idx="34">
                  <c:v>11/30/2016</c:v>
                </c:pt>
                <c:pt idx="35">
                  <c:v>11/29/2016</c:v>
                </c:pt>
                <c:pt idx="36">
                  <c:v>11/28/2016</c:v>
                </c:pt>
                <c:pt idx="37">
                  <c:v>11/25/2016</c:v>
                </c:pt>
                <c:pt idx="38">
                  <c:v>11/23/2016</c:v>
                </c:pt>
                <c:pt idx="39">
                  <c:v>11/22/2016</c:v>
                </c:pt>
                <c:pt idx="40">
                  <c:v>11/21/2016</c:v>
                </c:pt>
                <c:pt idx="41">
                  <c:v>11/18/2016</c:v>
                </c:pt>
                <c:pt idx="42">
                  <c:v>11/17/2016</c:v>
                </c:pt>
                <c:pt idx="43">
                  <c:v>11/16/2016</c:v>
                </c:pt>
                <c:pt idx="44">
                  <c:v>11/15/2016</c:v>
                </c:pt>
                <c:pt idx="45">
                  <c:v>11/14/2016</c:v>
                </c:pt>
                <c:pt idx="46">
                  <c:v>11/11/2016</c:v>
                </c:pt>
                <c:pt idx="47">
                  <c:v>11/10/2016</c:v>
                </c:pt>
                <c:pt idx="48">
                  <c:v>11/9/2016</c:v>
                </c:pt>
                <c:pt idx="49">
                  <c:v>11/8/2016</c:v>
                </c:pt>
                <c:pt idx="50">
                  <c:v>11/7/2016</c:v>
                </c:pt>
                <c:pt idx="51">
                  <c:v>11/4/2016</c:v>
                </c:pt>
                <c:pt idx="52">
                  <c:v>11/3/2016</c:v>
                </c:pt>
                <c:pt idx="53">
                  <c:v>11/2/2016</c:v>
                </c:pt>
                <c:pt idx="54">
                  <c:v>11/2/2016</c:v>
                </c:pt>
                <c:pt idx="55">
                  <c:v>11/1/2016</c:v>
                </c:pt>
                <c:pt idx="56">
                  <c:v>10/31/2016</c:v>
                </c:pt>
                <c:pt idx="57">
                  <c:v>10/28/2016</c:v>
                </c:pt>
                <c:pt idx="58">
                  <c:v>10/27/2016</c:v>
                </c:pt>
                <c:pt idx="59">
                  <c:v>10/26/2016</c:v>
                </c:pt>
                <c:pt idx="60">
                  <c:v>10/25/2016</c:v>
                </c:pt>
                <c:pt idx="61">
                  <c:v>10/24/2016</c:v>
                </c:pt>
                <c:pt idx="62">
                  <c:v>10/21/2016</c:v>
                </c:pt>
                <c:pt idx="63">
                  <c:v>10/20/2016</c:v>
                </c:pt>
                <c:pt idx="64">
                  <c:v>10/19/2016</c:v>
                </c:pt>
                <c:pt idx="65">
                  <c:v>10/18/2016</c:v>
                </c:pt>
                <c:pt idx="66">
                  <c:v>10/17/2016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113.59</c:v>
                </c:pt>
                <c:pt idx="1">
                  <c:v>114.42</c:v>
                </c:pt>
                <c:pt idx="2">
                  <c:v>109.97</c:v>
                </c:pt>
                <c:pt idx="3">
                  <c:v>108.9</c:v>
                </c:pt>
                <c:pt idx="4">
                  <c:v>111.59</c:v>
                </c:pt>
                <c:pt idx="5">
                  <c:v>111.01</c:v>
                </c:pt>
                <c:pt idx="6">
                  <c:v>110.55</c:v>
                </c:pt>
                <c:pt idx="7">
                  <c:v>109.26</c:v>
                </c:pt>
                <c:pt idx="8">
                  <c:v>109.18</c:v>
                </c:pt>
                <c:pt idx="9">
                  <c:v>111.66</c:v>
                </c:pt>
                <c:pt idx="10">
                  <c:v>110.29</c:v>
                </c:pt>
                <c:pt idx="11">
                  <c:v>110.64</c:v>
                </c:pt>
                <c:pt idx="12">
                  <c:v>106.99</c:v>
                </c:pt>
                <c:pt idx="13">
                  <c:v>108.07</c:v>
                </c:pt>
                <c:pt idx="14">
                  <c:v>108.82</c:v>
                </c:pt>
                <c:pt idx="15">
                  <c:v>108.72</c:v>
                </c:pt>
                <c:pt idx="16">
                  <c:v>109.45</c:v>
                </c:pt>
                <c:pt idx="17">
                  <c:v>109.28</c:v>
                </c:pt>
                <c:pt idx="18">
                  <c:v>108.78</c:v>
                </c:pt>
                <c:pt idx="19">
                  <c:v>108.05</c:v>
                </c:pt>
                <c:pt idx="20">
                  <c:v>108.17</c:v>
                </c:pt>
                <c:pt idx="21">
                  <c:v>106.93</c:v>
                </c:pt>
                <c:pt idx="22">
                  <c:v>106.67</c:v>
                </c:pt>
                <c:pt idx="23">
                  <c:v>108.11</c:v>
                </c:pt>
                <c:pt idx="24">
                  <c:v>107.58</c:v>
                </c:pt>
                <c:pt idx="25">
                  <c:v>109.83</c:v>
                </c:pt>
                <c:pt idx="26">
                  <c:v>110.69</c:v>
                </c:pt>
                <c:pt idx="27">
                  <c:v>110.6</c:v>
                </c:pt>
                <c:pt idx="28">
                  <c:v>110.02</c:v>
                </c:pt>
                <c:pt idx="29">
                  <c:v>109.75</c:v>
                </c:pt>
                <c:pt idx="30">
                  <c:v>106.21</c:v>
                </c:pt>
                <c:pt idx="31">
                  <c:v>105.96</c:v>
                </c:pt>
                <c:pt idx="32">
                  <c:v>105.6</c:v>
                </c:pt>
                <c:pt idx="33">
                  <c:v>106.83</c:v>
                </c:pt>
                <c:pt idx="34">
                  <c:v>106.46</c:v>
                </c:pt>
                <c:pt idx="35">
                  <c:v>104.37</c:v>
                </c:pt>
                <c:pt idx="36">
                  <c:v>103.99</c:v>
                </c:pt>
                <c:pt idx="37">
                  <c:v>104.34</c:v>
                </c:pt>
                <c:pt idx="38">
                  <c:v>104.04</c:v>
                </c:pt>
                <c:pt idx="39">
                  <c:v>103.92</c:v>
                </c:pt>
                <c:pt idx="40">
                  <c:v>104.6</c:v>
                </c:pt>
                <c:pt idx="41">
                  <c:v>103.45</c:v>
                </c:pt>
                <c:pt idx="42">
                  <c:v>103.14</c:v>
                </c:pt>
                <c:pt idx="43">
                  <c:v>103</c:v>
                </c:pt>
                <c:pt idx="44">
                  <c:v>104.58</c:v>
                </c:pt>
                <c:pt idx="45">
                  <c:v>103.99</c:v>
                </c:pt>
                <c:pt idx="46">
                  <c:v>100.91</c:v>
                </c:pt>
                <c:pt idx="47">
                  <c:v>100.5</c:v>
                </c:pt>
                <c:pt idx="48">
                  <c:v>98.8</c:v>
                </c:pt>
                <c:pt idx="49">
                  <c:v>96</c:v>
                </c:pt>
                <c:pt idx="50">
                  <c:v>94.95</c:v>
                </c:pt>
                <c:pt idx="51">
                  <c:v>91.62</c:v>
                </c:pt>
                <c:pt idx="52">
                  <c:v>91.76</c:v>
                </c:pt>
                <c:pt idx="53">
                  <c:v>91.99</c:v>
                </c:pt>
                <c:pt idx="55">
                  <c:v>91.6</c:v>
                </c:pt>
                <c:pt idx="56">
                  <c:v>93</c:v>
                </c:pt>
                <c:pt idx="57">
                  <c:v>92.27</c:v>
                </c:pt>
                <c:pt idx="58">
                  <c:v>91.35</c:v>
                </c:pt>
                <c:pt idx="59">
                  <c:v>90.03</c:v>
                </c:pt>
                <c:pt idx="60">
                  <c:v>93.27</c:v>
                </c:pt>
                <c:pt idx="61">
                  <c:v>92.95</c:v>
                </c:pt>
                <c:pt idx="62">
                  <c:v>92.92</c:v>
                </c:pt>
                <c:pt idx="63">
                  <c:v>93.13</c:v>
                </c:pt>
                <c:pt idx="64">
                  <c:v>95.64</c:v>
                </c:pt>
                <c:pt idx="65">
                  <c:v>94.98</c:v>
                </c:pt>
                <c:pt idx="66">
                  <c:v>94.84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14264"/>
        <c:axId val="712614656"/>
      </c:lineChart>
      <c:catAx>
        <c:axId val="71261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4656"/>
        <c:crosses val="autoZero"/>
        <c:auto val="1"/>
        <c:lblAlgn val="ctr"/>
        <c:lblOffset val="100"/>
        <c:noMultiLvlLbl val="0"/>
      </c:catAx>
      <c:valAx>
        <c:axId val="7126146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191.08</c:v>
                </c:pt>
                <c:pt idx="1">
                  <c:v>185.56</c:v>
                </c:pt>
                <c:pt idx="2">
                  <c:v>185.02</c:v>
                </c:pt>
                <c:pt idx="3">
                  <c:v>179.11</c:v>
                </c:pt>
                <c:pt idx="4">
                  <c:v>180.45</c:v>
                </c:pt>
                <c:pt idx="5">
                  <c:v>178.86</c:v>
                </c:pt>
                <c:pt idx="6">
                  <c:v>179.42</c:v>
                </c:pt>
                <c:pt idx="7">
                  <c:v>180.57</c:v>
                </c:pt>
                <c:pt idx="8">
                  <c:v>176.97</c:v>
                </c:pt>
                <c:pt idx="9">
                  <c:v>176.59</c:v>
                </c:pt>
                <c:pt idx="10">
                  <c:v>174.28</c:v>
                </c:pt>
                <c:pt idx="11">
                  <c:v>177.07</c:v>
                </c:pt>
                <c:pt idx="12">
                  <c:v>178.34</c:v>
                </c:pt>
                <c:pt idx="13">
                  <c:v>176.77</c:v>
                </c:pt>
                <c:pt idx="14">
                  <c:v>179.87</c:v>
                </c:pt>
                <c:pt idx="15">
                  <c:v>180.19</c:v>
                </c:pt>
                <c:pt idx="16">
                  <c:v>182.31</c:v>
                </c:pt>
                <c:pt idx="17">
                  <c:v>181.94</c:v>
                </c:pt>
                <c:pt idx="18">
                  <c:v>180.6</c:v>
                </c:pt>
                <c:pt idx="19">
                  <c:v>182.29</c:v>
                </c:pt>
                <c:pt idx="20">
                  <c:v>182.07</c:v>
                </c:pt>
                <c:pt idx="21">
                  <c:v>180.46</c:v>
                </c:pt>
                <c:pt idx="22">
                  <c:v>178.42</c:v>
                </c:pt>
                <c:pt idx="23">
                  <c:v>180.01</c:v>
                </c:pt>
                <c:pt idx="24">
                  <c:v>177.62</c:v>
                </c:pt>
                <c:pt idx="26">
                  <c:v>179.44</c:v>
                </c:pt>
                <c:pt idx="27">
                  <c:v>178.16</c:v>
                </c:pt>
                <c:pt idx="28">
                  <c:v>179.09</c:v>
                </c:pt>
                <c:pt idx="29">
                  <c:v>170.71</c:v>
                </c:pt>
                <c:pt idx="30">
                  <c:v>168.55</c:v>
                </c:pt>
                <c:pt idx="31">
                  <c:v>164.76</c:v>
                </c:pt>
                <c:pt idx="32">
                  <c:v>166.13</c:v>
                </c:pt>
                <c:pt idx="33">
                  <c:v>164.22</c:v>
                </c:pt>
                <c:pt idx="34">
                  <c:v>162.79</c:v>
                </c:pt>
                <c:pt idx="35">
                  <c:v>170.49</c:v>
                </c:pt>
                <c:pt idx="36">
                  <c:v>175.45</c:v>
                </c:pt>
                <c:pt idx="37">
                  <c:v>174.65</c:v>
                </c:pt>
                <c:pt idx="38">
                  <c:v>176.75</c:v>
                </c:pt>
                <c:pt idx="39">
                  <c:v>177.08</c:v>
                </c:pt>
                <c:pt idx="40">
                  <c:v>177.02</c:v>
                </c:pt>
                <c:pt idx="41">
                  <c:v>172.58</c:v>
                </c:pt>
                <c:pt idx="42">
                  <c:v>168.16</c:v>
                </c:pt>
                <c:pt idx="43">
                  <c:v>167.04</c:v>
                </c:pt>
                <c:pt idx="44">
                  <c:v>167.83</c:v>
                </c:pt>
                <c:pt idx="45">
                  <c:v>166.45</c:v>
                </c:pt>
                <c:pt idx="46">
                  <c:v>163.78</c:v>
                </c:pt>
                <c:pt idx="47">
                  <c:v>167.54</c:v>
                </c:pt>
                <c:pt idx="48">
                  <c:v>167.94</c:v>
                </c:pt>
                <c:pt idx="49">
                  <c:v>173.42</c:v>
                </c:pt>
                <c:pt idx="50">
                  <c:v>177</c:v>
                </c:pt>
                <c:pt idx="51">
                  <c:v>176.96</c:v>
                </c:pt>
                <c:pt idx="52">
                  <c:v>172.17</c:v>
                </c:pt>
                <c:pt idx="53">
                  <c:v>172.99</c:v>
                </c:pt>
                <c:pt idx="54">
                  <c:v>172.56</c:v>
                </c:pt>
                <c:pt idx="55">
                  <c:v>168.8</c:v>
                </c:pt>
                <c:pt idx="56">
                  <c:v>170.28</c:v>
                </c:pt>
                <c:pt idx="57">
                  <c:v>169.35</c:v>
                </c:pt>
                <c:pt idx="58">
                  <c:v>172.24</c:v>
                </c:pt>
                <c:pt idx="59">
                  <c:v>173</c:v>
                </c:pt>
                <c:pt idx="60">
                  <c:v>173.65</c:v>
                </c:pt>
                <c:pt idx="61">
                  <c:v>176.55</c:v>
                </c:pt>
                <c:pt idx="62">
                  <c:v>172.92</c:v>
                </c:pt>
                <c:pt idx="63">
                  <c:v>173.41</c:v>
                </c:pt>
                <c:pt idx="64">
                  <c:v>171.87</c:v>
                </c:pt>
                <c:pt idx="65">
                  <c:v>172.17</c:v>
                </c:pt>
                <c:pt idx="66">
                  <c:v>168.88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16616"/>
        <c:axId val="712617008"/>
      </c:lineChart>
      <c:catAx>
        <c:axId val="712616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7008"/>
        <c:crosses val="autoZero"/>
        <c:auto val="1"/>
        <c:lblAlgn val="ctr"/>
        <c:lblOffset val="100"/>
        <c:noMultiLvlLbl val="0"/>
      </c:catAx>
      <c:valAx>
        <c:axId val="712617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75.239999999999995</c:v>
                </c:pt>
                <c:pt idx="1">
                  <c:v>74.02</c:v>
                </c:pt>
                <c:pt idx="2">
                  <c:v>74</c:v>
                </c:pt>
                <c:pt idx="3">
                  <c:v>73.739999999999995</c:v>
                </c:pt>
                <c:pt idx="4">
                  <c:v>74.319999999999993</c:v>
                </c:pt>
                <c:pt idx="5">
                  <c:v>74</c:v>
                </c:pt>
                <c:pt idx="6">
                  <c:v>75.040000000000006</c:v>
                </c:pt>
                <c:pt idx="7">
                  <c:v>73.66</c:v>
                </c:pt>
                <c:pt idx="8">
                  <c:v>71.28</c:v>
                </c:pt>
                <c:pt idx="9">
                  <c:v>71.37</c:v>
                </c:pt>
                <c:pt idx="10">
                  <c:v>70.930000000000007</c:v>
                </c:pt>
                <c:pt idx="11">
                  <c:v>73.02</c:v>
                </c:pt>
                <c:pt idx="12">
                  <c:v>72.709999999999994</c:v>
                </c:pt>
                <c:pt idx="13">
                  <c:v>72.88</c:v>
                </c:pt>
                <c:pt idx="14">
                  <c:v>73.28</c:v>
                </c:pt>
                <c:pt idx="15">
                  <c:v>73.53</c:v>
                </c:pt>
                <c:pt idx="16">
                  <c:v>74.67</c:v>
                </c:pt>
                <c:pt idx="17">
                  <c:v>74.790000000000006</c:v>
                </c:pt>
                <c:pt idx="18">
                  <c:v>74.19</c:v>
                </c:pt>
                <c:pt idx="19">
                  <c:v>75.72</c:v>
                </c:pt>
                <c:pt idx="20">
                  <c:v>76.05</c:v>
                </c:pt>
                <c:pt idx="21">
                  <c:v>74.48</c:v>
                </c:pt>
                <c:pt idx="22">
                  <c:v>74.42</c:v>
                </c:pt>
                <c:pt idx="23">
                  <c:v>74.790000000000006</c:v>
                </c:pt>
                <c:pt idx="24">
                  <c:v>72.94</c:v>
                </c:pt>
                <c:pt idx="25">
                  <c:v>72.55</c:v>
                </c:pt>
                <c:pt idx="26">
                  <c:v>73.239999999999995</c:v>
                </c:pt>
                <c:pt idx="27">
                  <c:v>75.17</c:v>
                </c:pt>
                <c:pt idx="28">
                  <c:v>72.739999999999995</c:v>
                </c:pt>
                <c:pt idx="29">
                  <c:v>72.430000000000007</c:v>
                </c:pt>
                <c:pt idx="30">
                  <c:v>70.97</c:v>
                </c:pt>
                <c:pt idx="31">
                  <c:v>68.260000000000005</c:v>
                </c:pt>
                <c:pt idx="32">
                  <c:v>69.27</c:v>
                </c:pt>
                <c:pt idx="33">
                  <c:v>68.47</c:v>
                </c:pt>
                <c:pt idx="34">
                  <c:v>68.95</c:v>
                </c:pt>
                <c:pt idx="35">
                  <c:v>69.72</c:v>
                </c:pt>
                <c:pt idx="36">
                  <c:v>69.25</c:v>
                </c:pt>
                <c:pt idx="37">
                  <c:v>70.09</c:v>
                </c:pt>
                <c:pt idx="38">
                  <c:v>69.88</c:v>
                </c:pt>
                <c:pt idx="39">
                  <c:v>69.5</c:v>
                </c:pt>
                <c:pt idx="40">
                  <c:v>68.989999999999995</c:v>
                </c:pt>
                <c:pt idx="41">
                  <c:v>68.290000000000006</c:v>
                </c:pt>
                <c:pt idx="42">
                  <c:v>67.86</c:v>
                </c:pt>
                <c:pt idx="43">
                  <c:v>65.5</c:v>
                </c:pt>
                <c:pt idx="44">
                  <c:v>66.06</c:v>
                </c:pt>
                <c:pt idx="45">
                  <c:v>62.94</c:v>
                </c:pt>
                <c:pt idx="46">
                  <c:v>60.25</c:v>
                </c:pt>
                <c:pt idx="47">
                  <c:v>59.94</c:v>
                </c:pt>
                <c:pt idx="48">
                  <c:v>60.13</c:v>
                </c:pt>
                <c:pt idx="49">
                  <c:v>59.31</c:v>
                </c:pt>
                <c:pt idx="50">
                  <c:v>58.53</c:v>
                </c:pt>
                <c:pt idx="51">
                  <c:v>57.23</c:v>
                </c:pt>
                <c:pt idx="52">
                  <c:v>55.94</c:v>
                </c:pt>
                <c:pt idx="53">
                  <c:v>56.14</c:v>
                </c:pt>
                <c:pt idx="54">
                  <c:v>56</c:v>
                </c:pt>
                <c:pt idx="55">
                  <c:v>56.23</c:v>
                </c:pt>
                <c:pt idx="56">
                  <c:v>55.11</c:v>
                </c:pt>
                <c:pt idx="57">
                  <c:v>54.42</c:v>
                </c:pt>
                <c:pt idx="58">
                  <c:v>53.98</c:v>
                </c:pt>
                <c:pt idx="59">
                  <c:v>54.63</c:v>
                </c:pt>
                <c:pt idx="60">
                  <c:v>55.04</c:v>
                </c:pt>
                <c:pt idx="61">
                  <c:v>55.6</c:v>
                </c:pt>
                <c:pt idx="62">
                  <c:v>56.57</c:v>
                </c:pt>
                <c:pt idx="63">
                  <c:v>55.44</c:v>
                </c:pt>
                <c:pt idx="64">
                  <c:v>53.68</c:v>
                </c:pt>
                <c:pt idx="65">
                  <c:v>53.03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18968"/>
        <c:axId val="712619360"/>
      </c:lineChart>
      <c:dateAx>
        <c:axId val="71261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9360"/>
        <c:crosses val="autoZero"/>
        <c:auto val="1"/>
        <c:lblOffset val="100"/>
        <c:baseTimeUnit val="days"/>
      </c:dateAx>
      <c:valAx>
        <c:axId val="712619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75.03</c:v>
                </c:pt>
                <c:pt idx="1">
                  <c:v>75.55</c:v>
                </c:pt>
                <c:pt idx="2">
                  <c:v>75.8</c:v>
                </c:pt>
                <c:pt idx="3">
                  <c:v>75.180000000000007</c:v>
                </c:pt>
                <c:pt idx="4">
                  <c:v>75</c:v>
                </c:pt>
                <c:pt idx="5">
                  <c:v>74.19</c:v>
                </c:pt>
                <c:pt idx="6">
                  <c:v>73.72</c:v>
                </c:pt>
                <c:pt idx="7">
                  <c:v>75.22</c:v>
                </c:pt>
                <c:pt idx="8">
                  <c:v>74.760000000000005</c:v>
                </c:pt>
                <c:pt idx="9">
                  <c:v>75.33</c:v>
                </c:pt>
                <c:pt idx="10">
                  <c:v>74.5</c:v>
                </c:pt>
                <c:pt idx="11">
                  <c:v>75.63</c:v>
                </c:pt>
                <c:pt idx="12">
                  <c:v>74.48</c:v>
                </c:pt>
                <c:pt idx="13">
                  <c:v>71.97</c:v>
                </c:pt>
                <c:pt idx="14">
                  <c:v>72.349999999999994</c:v>
                </c:pt>
                <c:pt idx="16">
                  <c:v>72.55</c:v>
                </c:pt>
                <c:pt idx="17">
                  <c:v>73.069999999999993</c:v>
                </c:pt>
                <c:pt idx="18">
                  <c:v>72.88</c:v>
                </c:pt>
                <c:pt idx="19">
                  <c:v>72.11</c:v>
                </c:pt>
                <c:pt idx="20">
                  <c:v>72.62</c:v>
                </c:pt>
                <c:pt idx="21">
                  <c:v>73.349999999999994</c:v>
                </c:pt>
                <c:pt idx="22">
                  <c:v>73.7</c:v>
                </c:pt>
                <c:pt idx="23">
                  <c:v>73.760000000000005</c:v>
                </c:pt>
                <c:pt idx="24">
                  <c:v>73</c:v>
                </c:pt>
                <c:pt idx="25">
                  <c:v>72.47</c:v>
                </c:pt>
                <c:pt idx="26">
                  <c:v>73.75</c:v>
                </c:pt>
                <c:pt idx="27">
                  <c:v>73.48</c:v>
                </c:pt>
                <c:pt idx="28">
                  <c:v>73.040000000000006</c:v>
                </c:pt>
                <c:pt idx="29">
                  <c:v>71.11</c:v>
                </c:pt>
                <c:pt idx="30">
                  <c:v>70.5</c:v>
                </c:pt>
                <c:pt idx="31">
                  <c:v>71.42</c:v>
                </c:pt>
                <c:pt idx="32">
                  <c:v>72.099999999999994</c:v>
                </c:pt>
                <c:pt idx="33">
                  <c:v>70.83</c:v>
                </c:pt>
                <c:pt idx="34">
                  <c:v>70.930000000000007</c:v>
                </c:pt>
                <c:pt idx="35">
                  <c:v>71.010000000000005</c:v>
                </c:pt>
                <c:pt idx="36">
                  <c:v>70.989999999999995</c:v>
                </c:pt>
                <c:pt idx="37">
                  <c:v>71.569999999999993</c:v>
                </c:pt>
                <c:pt idx="38">
                  <c:v>71.11</c:v>
                </c:pt>
                <c:pt idx="39">
                  <c:v>70.55</c:v>
                </c:pt>
                <c:pt idx="40">
                  <c:v>70.13</c:v>
                </c:pt>
                <c:pt idx="41">
                  <c:v>70.25</c:v>
                </c:pt>
                <c:pt idx="42">
                  <c:v>70.77</c:v>
                </c:pt>
                <c:pt idx="43">
                  <c:v>71.64</c:v>
                </c:pt>
                <c:pt idx="44">
                  <c:v>70.83</c:v>
                </c:pt>
                <c:pt idx="45">
                  <c:v>71.39</c:v>
                </c:pt>
                <c:pt idx="46">
                  <c:v>72.349999999999994</c:v>
                </c:pt>
                <c:pt idx="47">
                  <c:v>71.37</c:v>
                </c:pt>
                <c:pt idx="48">
                  <c:v>71.72</c:v>
                </c:pt>
                <c:pt idx="49">
                  <c:v>69.25</c:v>
                </c:pt>
                <c:pt idx="50">
                  <c:v>65.349999999999994</c:v>
                </c:pt>
                <c:pt idx="51">
                  <c:v>66</c:v>
                </c:pt>
                <c:pt idx="52">
                  <c:v>65.17</c:v>
                </c:pt>
                <c:pt idx="53">
                  <c:v>65.38</c:v>
                </c:pt>
                <c:pt idx="54">
                  <c:v>68.66</c:v>
                </c:pt>
                <c:pt idx="55">
                  <c:v>66.89</c:v>
                </c:pt>
                <c:pt idx="56">
                  <c:v>68.69</c:v>
                </c:pt>
                <c:pt idx="57">
                  <c:v>67.5</c:v>
                </c:pt>
                <c:pt idx="58">
                  <c:v>74.8</c:v>
                </c:pt>
                <c:pt idx="59">
                  <c:v>74.400000000000006</c:v>
                </c:pt>
                <c:pt idx="60">
                  <c:v>74.91</c:v>
                </c:pt>
                <c:pt idx="61">
                  <c:v>75.61</c:v>
                </c:pt>
                <c:pt idx="62">
                  <c:v>75.150000000000006</c:v>
                </c:pt>
                <c:pt idx="63">
                  <c:v>75.58</c:v>
                </c:pt>
                <c:pt idx="64">
                  <c:v>75.209999999999994</c:v>
                </c:pt>
                <c:pt idx="65">
                  <c:v>75.73</c:v>
                </c:pt>
                <c:pt idx="66">
                  <c:v>74.959999999999994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1320"/>
        <c:axId val="712621712"/>
      </c:lineChart>
      <c:dateAx>
        <c:axId val="71262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1712"/>
        <c:crosses val="autoZero"/>
        <c:auto val="1"/>
        <c:lblOffset val="100"/>
        <c:baseTimeUnit val="days"/>
      </c:dateAx>
      <c:valAx>
        <c:axId val="7126217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50.5</c:v>
                </c:pt>
                <c:pt idx="1">
                  <c:v>49.7</c:v>
                </c:pt>
                <c:pt idx="2">
                  <c:v>50.3</c:v>
                </c:pt>
                <c:pt idx="3">
                  <c:v>50.33</c:v>
                </c:pt>
                <c:pt idx="4">
                  <c:v>51.23</c:v>
                </c:pt>
                <c:pt idx="5">
                  <c:v>50.89</c:v>
                </c:pt>
                <c:pt idx="6">
                  <c:v>51.44</c:v>
                </c:pt>
                <c:pt idx="7">
                  <c:v>50.93</c:v>
                </c:pt>
                <c:pt idx="8">
                  <c:v>49.69</c:v>
                </c:pt>
                <c:pt idx="9">
                  <c:v>49.68</c:v>
                </c:pt>
                <c:pt idx="10">
                  <c:v>49.73</c:v>
                </c:pt>
                <c:pt idx="11">
                  <c:v>50.7</c:v>
                </c:pt>
                <c:pt idx="12">
                  <c:v>49.48</c:v>
                </c:pt>
                <c:pt idx="13">
                  <c:v>49.19</c:v>
                </c:pt>
                <c:pt idx="14">
                  <c:v>49.31</c:v>
                </c:pt>
                <c:pt idx="15">
                  <c:v>49.51</c:v>
                </c:pt>
                <c:pt idx="16">
                  <c:v>50.36</c:v>
                </c:pt>
                <c:pt idx="17">
                  <c:v>49.89</c:v>
                </c:pt>
                <c:pt idx="18">
                  <c:v>49.8</c:v>
                </c:pt>
                <c:pt idx="19">
                  <c:v>50.92</c:v>
                </c:pt>
                <c:pt idx="20">
                  <c:v>50.76</c:v>
                </c:pt>
                <c:pt idx="21">
                  <c:v>50.42</c:v>
                </c:pt>
                <c:pt idx="22">
                  <c:v>50.16</c:v>
                </c:pt>
                <c:pt idx="23">
                  <c:v>50.5</c:v>
                </c:pt>
                <c:pt idx="24">
                  <c:v>49.82</c:v>
                </c:pt>
                <c:pt idx="25">
                  <c:v>49.66</c:v>
                </c:pt>
                <c:pt idx="26">
                  <c:v>49.97</c:v>
                </c:pt>
                <c:pt idx="27">
                  <c:v>51.78</c:v>
                </c:pt>
                <c:pt idx="28">
                  <c:v>51.35</c:v>
                </c:pt>
                <c:pt idx="29">
                  <c:v>51.1</c:v>
                </c:pt>
                <c:pt idx="30">
                  <c:v>49.43</c:v>
                </c:pt>
                <c:pt idx="31">
                  <c:v>47.82</c:v>
                </c:pt>
                <c:pt idx="32">
                  <c:v>48.31</c:v>
                </c:pt>
                <c:pt idx="33">
                  <c:v>47.77</c:v>
                </c:pt>
                <c:pt idx="34">
                  <c:v>48.18</c:v>
                </c:pt>
                <c:pt idx="35">
                  <c:v>48.59</c:v>
                </c:pt>
                <c:pt idx="36">
                  <c:v>48.49</c:v>
                </c:pt>
                <c:pt idx="37">
                  <c:v>49.24</c:v>
                </c:pt>
                <c:pt idx="38">
                  <c:v>49.21</c:v>
                </c:pt>
                <c:pt idx="39">
                  <c:v>48.9</c:v>
                </c:pt>
                <c:pt idx="40">
                  <c:v>48.61</c:v>
                </c:pt>
                <c:pt idx="41">
                  <c:v>48.9</c:v>
                </c:pt>
                <c:pt idx="42">
                  <c:v>48.51</c:v>
                </c:pt>
                <c:pt idx="43">
                  <c:v>47.38</c:v>
                </c:pt>
                <c:pt idx="44">
                  <c:v>47.65</c:v>
                </c:pt>
                <c:pt idx="45">
                  <c:v>47.47</c:v>
                </c:pt>
                <c:pt idx="46">
                  <c:v>46.38</c:v>
                </c:pt>
                <c:pt idx="47">
                  <c:v>45.95</c:v>
                </c:pt>
                <c:pt idx="48">
                  <c:v>45.25</c:v>
                </c:pt>
                <c:pt idx="49">
                  <c:v>44.53</c:v>
                </c:pt>
                <c:pt idx="51">
                  <c:v>44.21</c:v>
                </c:pt>
                <c:pt idx="52">
                  <c:v>42.88</c:v>
                </c:pt>
                <c:pt idx="53">
                  <c:v>41.92</c:v>
                </c:pt>
                <c:pt idx="54">
                  <c:v>41.93</c:v>
                </c:pt>
                <c:pt idx="55">
                  <c:v>41.88</c:v>
                </c:pt>
                <c:pt idx="56">
                  <c:v>41.77</c:v>
                </c:pt>
                <c:pt idx="57">
                  <c:v>41.34</c:v>
                </c:pt>
                <c:pt idx="58">
                  <c:v>41.47</c:v>
                </c:pt>
                <c:pt idx="59">
                  <c:v>41.4</c:v>
                </c:pt>
                <c:pt idx="60">
                  <c:v>41.21</c:v>
                </c:pt>
                <c:pt idx="61">
                  <c:v>41.37</c:v>
                </c:pt>
                <c:pt idx="62">
                  <c:v>41.17</c:v>
                </c:pt>
                <c:pt idx="63">
                  <c:v>41.46</c:v>
                </c:pt>
                <c:pt idx="64">
                  <c:v>40.9</c:v>
                </c:pt>
                <c:pt idx="65">
                  <c:v>39.46</c:v>
                </c:pt>
                <c:pt idx="66">
                  <c:v>39.35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3672"/>
        <c:axId val="712624064"/>
      </c:lineChart>
      <c:dateAx>
        <c:axId val="71262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4064"/>
        <c:crosses val="autoZero"/>
        <c:auto val="1"/>
        <c:lblOffset val="100"/>
        <c:baseTimeUnit val="days"/>
      </c:dateAx>
      <c:valAx>
        <c:axId val="7126240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33.229999999999997</c:v>
                </c:pt>
                <c:pt idx="1">
                  <c:v>33.47</c:v>
                </c:pt>
                <c:pt idx="2">
                  <c:v>34.1</c:v>
                </c:pt>
                <c:pt idx="3">
                  <c:v>33.75</c:v>
                </c:pt>
                <c:pt idx="4">
                  <c:v>33.97</c:v>
                </c:pt>
                <c:pt idx="5">
                  <c:v>33.94</c:v>
                </c:pt>
                <c:pt idx="6">
                  <c:v>34.28</c:v>
                </c:pt>
                <c:pt idx="7">
                  <c:v>35.200000000000003</c:v>
                </c:pt>
                <c:pt idx="8">
                  <c:v>35.06</c:v>
                </c:pt>
                <c:pt idx="9">
                  <c:v>35.1</c:v>
                </c:pt>
                <c:pt idx="10">
                  <c:v>37.96</c:v>
                </c:pt>
                <c:pt idx="11">
                  <c:v>37.74</c:v>
                </c:pt>
                <c:pt idx="12">
                  <c:v>37.479999999999997</c:v>
                </c:pt>
                <c:pt idx="13">
                  <c:v>36.25</c:v>
                </c:pt>
                <c:pt idx="14">
                  <c:v>36.08</c:v>
                </c:pt>
                <c:pt idx="15">
                  <c:v>35.93</c:v>
                </c:pt>
                <c:pt idx="16">
                  <c:v>36.340000000000003</c:v>
                </c:pt>
                <c:pt idx="17">
                  <c:v>36.82</c:v>
                </c:pt>
                <c:pt idx="18">
                  <c:v>36.909999999999997</c:v>
                </c:pt>
                <c:pt idx="19">
                  <c:v>36.369999999999997</c:v>
                </c:pt>
                <c:pt idx="20">
                  <c:v>36.25</c:v>
                </c:pt>
                <c:pt idx="21">
                  <c:v>36.57</c:v>
                </c:pt>
                <c:pt idx="22">
                  <c:v>36.51</c:v>
                </c:pt>
                <c:pt idx="23">
                  <c:v>36.729999999999997</c:v>
                </c:pt>
                <c:pt idx="24">
                  <c:v>37</c:v>
                </c:pt>
                <c:pt idx="25">
                  <c:v>37.659999999999997</c:v>
                </c:pt>
                <c:pt idx="26">
                  <c:v>37.25</c:v>
                </c:pt>
                <c:pt idx="27">
                  <c:v>36.299999999999997</c:v>
                </c:pt>
                <c:pt idx="28">
                  <c:v>35.909999999999997</c:v>
                </c:pt>
                <c:pt idx="29">
                  <c:v>35.270000000000003</c:v>
                </c:pt>
                <c:pt idx="30">
                  <c:v>35.03</c:v>
                </c:pt>
                <c:pt idx="31">
                  <c:v>37.04</c:v>
                </c:pt>
                <c:pt idx="32">
                  <c:v>36.53</c:v>
                </c:pt>
                <c:pt idx="33">
                  <c:v>36.57</c:v>
                </c:pt>
                <c:pt idx="35">
                  <c:v>37.700000000000003</c:v>
                </c:pt>
                <c:pt idx="36">
                  <c:v>37.86</c:v>
                </c:pt>
                <c:pt idx="37">
                  <c:v>38.15</c:v>
                </c:pt>
                <c:pt idx="38">
                  <c:v>38.21</c:v>
                </c:pt>
                <c:pt idx="39">
                  <c:v>38.11</c:v>
                </c:pt>
                <c:pt idx="40">
                  <c:v>37.83</c:v>
                </c:pt>
                <c:pt idx="41">
                  <c:v>38.799999999999997</c:v>
                </c:pt>
                <c:pt idx="42">
                  <c:v>38.56</c:v>
                </c:pt>
                <c:pt idx="43">
                  <c:v>38.89</c:v>
                </c:pt>
                <c:pt idx="44">
                  <c:v>38.07</c:v>
                </c:pt>
                <c:pt idx="45">
                  <c:v>37.6</c:v>
                </c:pt>
                <c:pt idx="46">
                  <c:v>41.03</c:v>
                </c:pt>
                <c:pt idx="47">
                  <c:v>40.65</c:v>
                </c:pt>
                <c:pt idx="48">
                  <c:v>40.06</c:v>
                </c:pt>
                <c:pt idx="49">
                  <c:v>39.97</c:v>
                </c:pt>
                <c:pt idx="50">
                  <c:v>38.770000000000003</c:v>
                </c:pt>
                <c:pt idx="51">
                  <c:v>40.78</c:v>
                </c:pt>
                <c:pt idx="52">
                  <c:v>40.24</c:v>
                </c:pt>
                <c:pt idx="53">
                  <c:v>39.200000000000003</c:v>
                </c:pt>
                <c:pt idx="54">
                  <c:v>43.33</c:v>
                </c:pt>
                <c:pt idx="55">
                  <c:v>43.12</c:v>
                </c:pt>
                <c:pt idx="56">
                  <c:v>42.74</c:v>
                </c:pt>
                <c:pt idx="57">
                  <c:v>42.32</c:v>
                </c:pt>
                <c:pt idx="58">
                  <c:v>43.15</c:v>
                </c:pt>
                <c:pt idx="59">
                  <c:v>43.36</c:v>
                </c:pt>
                <c:pt idx="60">
                  <c:v>43.85</c:v>
                </c:pt>
                <c:pt idx="61">
                  <c:v>43.5</c:v>
                </c:pt>
                <c:pt idx="62">
                  <c:v>44</c:v>
                </c:pt>
                <c:pt idx="63">
                  <c:v>44.21</c:v>
                </c:pt>
                <c:pt idx="64">
                  <c:v>43.34</c:v>
                </c:pt>
                <c:pt idx="65">
                  <c:v>43.26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6024"/>
        <c:axId val="712626416"/>
      </c:lineChart>
      <c:dateAx>
        <c:axId val="712626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6416"/>
        <c:crosses val="autoZero"/>
        <c:auto val="1"/>
        <c:lblOffset val="100"/>
        <c:baseTimeUnit val="days"/>
      </c:dateAx>
      <c:valAx>
        <c:axId val="7126264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107.66</c:v>
                </c:pt>
                <c:pt idx="1">
                  <c:v>107.28</c:v>
                </c:pt>
                <c:pt idx="2">
                  <c:v>108.16</c:v>
                </c:pt>
                <c:pt idx="3">
                  <c:v>107.97</c:v>
                </c:pt>
                <c:pt idx="4">
                  <c:v>108.06</c:v>
                </c:pt>
                <c:pt idx="5">
                  <c:v>107.53</c:v>
                </c:pt>
                <c:pt idx="6">
                  <c:v>109.44</c:v>
                </c:pt>
                <c:pt idx="7">
                  <c:v>108.38</c:v>
                </c:pt>
                <c:pt idx="8">
                  <c:v>108.36</c:v>
                </c:pt>
                <c:pt idx="9">
                  <c:v>108.98</c:v>
                </c:pt>
                <c:pt idx="10">
                  <c:v>107.38</c:v>
                </c:pt>
                <c:pt idx="11">
                  <c:v>107.44</c:v>
                </c:pt>
                <c:pt idx="12">
                  <c:v>106.08</c:v>
                </c:pt>
                <c:pt idx="13">
                  <c:v>104.22</c:v>
                </c:pt>
                <c:pt idx="14">
                  <c:v>104.56</c:v>
                </c:pt>
                <c:pt idx="15">
                  <c:v>104.3</c:v>
                </c:pt>
                <c:pt idx="16">
                  <c:v>105.17</c:v>
                </c:pt>
                <c:pt idx="17">
                  <c:v>105.15</c:v>
                </c:pt>
                <c:pt idx="18">
                  <c:v>105.42</c:v>
                </c:pt>
                <c:pt idx="19">
                  <c:v>105.56</c:v>
                </c:pt>
                <c:pt idx="20">
                  <c:v>105.46</c:v>
                </c:pt>
                <c:pt idx="21">
                  <c:v>105.3</c:v>
                </c:pt>
                <c:pt idx="22">
                  <c:v>103.91</c:v>
                </c:pt>
                <c:pt idx="23">
                  <c:v>104.39</c:v>
                </c:pt>
                <c:pt idx="24">
                  <c:v>104.05</c:v>
                </c:pt>
                <c:pt idx="25">
                  <c:v>103.85</c:v>
                </c:pt>
                <c:pt idx="26">
                  <c:v>104.06</c:v>
                </c:pt>
                <c:pt idx="27">
                  <c:v>104.86</c:v>
                </c:pt>
                <c:pt idx="28">
                  <c:v>103.38</c:v>
                </c:pt>
                <c:pt idx="30">
                  <c:v>101.99</c:v>
                </c:pt>
                <c:pt idx="31">
                  <c:v>100.66</c:v>
                </c:pt>
                <c:pt idx="32">
                  <c:v>99.96</c:v>
                </c:pt>
                <c:pt idx="33">
                  <c:v>98.5</c:v>
                </c:pt>
                <c:pt idx="34">
                  <c:v>98.94</c:v>
                </c:pt>
                <c:pt idx="35">
                  <c:v>99.12</c:v>
                </c:pt>
                <c:pt idx="36">
                  <c:v>99.67</c:v>
                </c:pt>
                <c:pt idx="37">
                  <c:v>98.97</c:v>
                </c:pt>
                <c:pt idx="38">
                  <c:v>98.82</c:v>
                </c:pt>
                <c:pt idx="39">
                  <c:v>98.26</c:v>
                </c:pt>
                <c:pt idx="40">
                  <c:v>97.71</c:v>
                </c:pt>
                <c:pt idx="41">
                  <c:v>97.63</c:v>
                </c:pt>
                <c:pt idx="42">
                  <c:v>98.24</c:v>
                </c:pt>
                <c:pt idx="43">
                  <c:v>99.37</c:v>
                </c:pt>
                <c:pt idx="44">
                  <c:v>99.12</c:v>
                </c:pt>
                <c:pt idx="45">
                  <c:v>97.7</c:v>
                </c:pt>
                <c:pt idx="46">
                  <c:v>97.92</c:v>
                </c:pt>
                <c:pt idx="47">
                  <c:v>97.68</c:v>
                </c:pt>
                <c:pt idx="48">
                  <c:v>94.96</c:v>
                </c:pt>
                <c:pt idx="49">
                  <c:v>94.64</c:v>
                </c:pt>
                <c:pt idx="50">
                  <c:v>94.38</c:v>
                </c:pt>
                <c:pt idx="51">
                  <c:v>94.43</c:v>
                </c:pt>
                <c:pt idx="52">
                  <c:v>92.45</c:v>
                </c:pt>
                <c:pt idx="53">
                  <c:v>93.37</c:v>
                </c:pt>
                <c:pt idx="54">
                  <c:v>91.91</c:v>
                </c:pt>
                <c:pt idx="55">
                  <c:v>92.39</c:v>
                </c:pt>
                <c:pt idx="56">
                  <c:v>92.69</c:v>
                </c:pt>
                <c:pt idx="57">
                  <c:v>93.85</c:v>
                </c:pt>
                <c:pt idx="58">
                  <c:v>94.02</c:v>
                </c:pt>
                <c:pt idx="59">
                  <c:v>93.49</c:v>
                </c:pt>
                <c:pt idx="60">
                  <c:v>92.75</c:v>
                </c:pt>
                <c:pt idx="61">
                  <c:v>93.37</c:v>
                </c:pt>
                <c:pt idx="62">
                  <c:v>93.03</c:v>
                </c:pt>
                <c:pt idx="63">
                  <c:v>92.03</c:v>
                </c:pt>
                <c:pt idx="64">
                  <c:v>91.93</c:v>
                </c:pt>
                <c:pt idx="65">
                  <c:v>91.17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8376"/>
        <c:axId val="712628768"/>
      </c:lineChart>
      <c:dateAx>
        <c:axId val="71262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8768"/>
        <c:crosses val="autoZero"/>
        <c:auto val="1"/>
        <c:lblOffset val="100"/>
        <c:baseTimeUnit val="days"/>
      </c:dateAx>
      <c:valAx>
        <c:axId val="712628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3.48</c:v>
                </c:pt>
                <c:pt idx="2">
                  <c:v>3.54</c:v>
                </c:pt>
                <c:pt idx="3">
                  <c:v>3.55</c:v>
                </c:pt>
                <c:pt idx="4">
                  <c:v>3.54</c:v>
                </c:pt>
                <c:pt idx="5">
                  <c:v>3.53</c:v>
                </c:pt>
                <c:pt idx="6">
                  <c:v>3.61</c:v>
                </c:pt>
                <c:pt idx="7">
                  <c:v>3.63</c:v>
                </c:pt>
                <c:pt idx="8">
                  <c:v>3.68</c:v>
                </c:pt>
                <c:pt idx="9">
                  <c:v>3.75</c:v>
                </c:pt>
                <c:pt idx="10">
                  <c:v>3.73</c:v>
                </c:pt>
                <c:pt idx="11">
                  <c:v>3.67</c:v>
                </c:pt>
                <c:pt idx="12">
                  <c:v>3.58</c:v>
                </c:pt>
                <c:pt idx="13">
                  <c:v>3.38</c:v>
                </c:pt>
                <c:pt idx="14">
                  <c:v>3.36</c:v>
                </c:pt>
                <c:pt idx="15">
                  <c:v>3.35</c:v>
                </c:pt>
                <c:pt idx="16">
                  <c:v>3.42</c:v>
                </c:pt>
                <c:pt idx="17">
                  <c:v>3.42</c:v>
                </c:pt>
                <c:pt idx="18">
                  <c:v>3.34</c:v>
                </c:pt>
                <c:pt idx="19">
                  <c:v>3.29</c:v>
                </c:pt>
                <c:pt idx="20">
                  <c:v>3.45</c:v>
                </c:pt>
                <c:pt idx="21">
                  <c:v>3.57</c:v>
                </c:pt>
                <c:pt idx="22">
                  <c:v>3.56</c:v>
                </c:pt>
                <c:pt idx="23">
                  <c:v>3.49</c:v>
                </c:pt>
                <c:pt idx="24">
                  <c:v>3.44</c:v>
                </c:pt>
                <c:pt idx="25">
                  <c:v>3.45</c:v>
                </c:pt>
                <c:pt idx="27">
                  <c:v>3.49</c:v>
                </c:pt>
                <c:pt idx="28">
                  <c:v>3.67</c:v>
                </c:pt>
                <c:pt idx="29">
                  <c:v>3.7</c:v>
                </c:pt>
                <c:pt idx="30">
                  <c:v>3.6</c:v>
                </c:pt>
                <c:pt idx="31">
                  <c:v>3.53</c:v>
                </c:pt>
                <c:pt idx="32">
                  <c:v>3.42</c:v>
                </c:pt>
                <c:pt idx="33">
                  <c:v>3.48</c:v>
                </c:pt>
                <c:pt idx="34">
                  <c:v>3.51</c:v>
                </c:pt>
                <c:pt idx="35">
                  <c:v>3.65</c:v>
                </c:pt>
                <c:pt idx="36">
                  <c:v>3.67</c:v>
                </c:pt>
                <c:pt idx="37">
                  <c:v>3.74</c:v>
                </c:pt>
                <c:pt idx="38">
                  <c:v>3.69</c:v>
                </c:pt>
                <c:pt idx="39">
                  <c:v>3.62</c:v>
                </c:pt>
                <c:pt idx="40">
                  <c:v>3.59</c:v>
                </c:pt>
                <c:pt idx="41">
                  <c:v>3.51</c:v>
                </c:pt>
                <c:pt idx="42">
                  <c:v>3.42</c:v>
                </c:pt>
                <c:pt idx="43">
                  <c:v>3.36</c:v>
                </c:pt>
                <c:pt idx="44">
                  <c:v>3.43</c:v>
                </c:pt>
                <c:pt idx="45">
                  <c:v>3.3</c:v>
                </c:pt>
                <c:pt idx="46">
                  <c:v>3.24</c:v>
                </c:pt>
                <c:pt idx="47">
                  <c:v>3.18</c:v>
                </c:pt>
                <c:pt idx="48">
                  <c:v>3.16</c:v>
                </c:pt>
                <c:pt idx="49">
                  <c:v>3.21</c:v>
                </c:pt>
                <c:pt idx="50">
                  <c:v>3.24</c:v>
                </c:pt>
                <c:pt idx="51">
                  <c:v>3.21</c:v>
                </c:pt>
                <c:pt idx="52">
                  <c:v>3.12</c:v>
                </c:pt>
                <c:pt idx="53">
                  <c:v>3.13</c:v>
                </c:pt>
                <c:pt idx="54">
                  <c:v>3.39</c:v>
                </c:pt>
                <c:pt idx="55">
                  <c:v>3.93</c:v>
                </c:pt>
                <c:pt idx="56">
                  <c:v>4.0199999999999996</c:v>
                </c:pt>
                <c:pt idx="57">
                  <c:v>4.03</c:v>
                </c:pt>
                <c:pt idx="58">
                  <c:v>4.17</c:v>
                </c:pt>
                <c:pt idx="59">
                  <c:v>4.09</c:v>
                </c:pt>
                <c:pt idx="60">
                  <c:v>4.1100000000000003</c:v>
                </c:pt>
                <c:pt idx="61">
                  <c:v>4.0999999999999996</c:v>
                </c:pt>
                <c:pt idx="62">
                  <c:v>4.07</c:v>
                </c:pt>
                <c:pt idx="63">
                  <c:v>4.09</c:v>
                </c:pt>
                <c:pt idx="64">
                  <c:v>4.09</c:v>
                </c:pt>
                <c:pt idx="65">
                  <c:v>4.08</c:v>
                </c:pt>
                <c:pt idx="66">
                  <c:v>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56912"/>
        <c:axId val="715057304"/>
      </c:lineChart>
      <c:dateAx>
        <c:axId val="715056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7304"/>
        <c:crosses val="autoZero"/>
        <c:auto val="1"/>
        <c:lblOffset val="100"/>
        <c:baseTimeUnit val="days"/>
      </c:dateAx>
      <c:valAx>
        <c:axId val="7150573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71.010000000000005</c:v>
                </c:pt>
                <c:pt idx="1">
                  <c:v>71.569999999999993</c:v>
                </c:pt>
                <c:pt idx="2">
                  <c:v>72.13</c:v>
                </c:pt>
                <c:pt idx="3">
                  <c:v>71.91</c:v>
                </c:pt>
                <c:pt idx="4">
                  <c:v>73.069999999999993</c:v>
                </c:pt>
                <c:pt idx="5">
                  <c:v>73.36</c:v>
                </c:pt>
                <c:pt idx="6">
                  <c:v>73.77</c:v>
                </c:pt>
                <c:pt idx="7">
                  <c:v>75.010000000000005</c:v>
                </c:pt>
                <c:pt idx="8">
                  <c:v>75.84</c:v>
                </c:pt>
                <c:pt idx="9">
                  <c:v>75.489999999999995</c:v>
                </c:pt>
                <c:pt idx="10">
                  <c:v>76.010000000000005</c:v>
                </c:pt>
                <c:pt idx="11">
                  <c:v>76.38</c:v>
                </c:pt>
                <c:pt idx="12">
                  <c:v>74.16</c:v>
                </c:pt>
                <c:pt idx="13">
                  <c:v>71.61</c:v>
                </c:pt>
                <c:pt idx="14">
                  <c:v>72.13</c:v>
                </c:pt>
                <c:pt idx="15">
                  <c:v>72.77</c:v>
                </c:pt>
                <c:pt idx="16">
                  <c:v>73.73</c:v>
                </c:pt>
                <c:pt idx="17">
                  <c:v>73.64</c:v>
                </c:pt>
                <c:pt idx="18">
                  <c:v>73.3</c:v>
                </c:pt>
                <c:pt idx="19">
                  <c:v>73.959999999999994</c:v>
                </c:pt>
                <c:pt idx="20">
                  <c:v>74.05</c:v>
                </c:pt>
                <c:pt idx="21">
                  <c:v>74.400000000000006</c:v>
                </c:pt>
                <c:pt idx="22">
                  <c:v>74.099999999999994</c:v>
                </c:pt>
                <c:pt idx="23">
                  <c:v>75.55</c:v>
                </c:pt>
                <c:pt idx="24">
                  <c:v>75.709999999999994</c:v>
                </c:pt>
                <c:pt idx="25">
                  <c:v>74.84</c:v>
                </c:pt>
                <c:pt idx="27">
                  <c:v>73.47</c:v>
                </c:pt>
                <c:pt idx="28">
                  <c:v>72.7</c:v>
                </c:pt>
                <c:pt idx="29">
                  <c:v>72.02</c:v>
                </c:pt>
                <c:pt idx="30">
                  <c:v>72.78</c:v>
                </c:pt>
                <c:pt idx="31">
                  <c:v>72.47</c:v>
                </c:pt>
                <c:pt idx="32">
                  <c:v>72.36</c:v>
                </c:pt>
                <c:pt idx="33">
                  <c:v>72.42</c:v>
                </c:pt>
                <c:pt idx="34">
                  <c:v>72.84</c:v>
                </c:pt>
                <c:pt idx="35">
                  <c:v>73.7</c:v>
                </c:pt>
                <c:pt idx="36">
                  <c:v>74.87</c:v>
                </c:pt>
                <c:pt idx="37">
                  <c:v>74.540000000000006</c:v>
                </c:pt>
                <c:pt idx="38">
                  <c:v>75.44</c:v>
                </c:pt>
                <c:pt idx="39">
                  <c:v>75.3</c:v>
                </c:pt>
                <c:pt idx="40">
                  <c:v>74.459999999999994</c:v>
                </c:pt>
                <c:pt idx="41">
                  <c:v>74.98</c:v>
                </c:pt>
                <c:pt idx="42">
                  <c:v>74.62</c:v>
                </c:pt>
                <c:pt idx="43">
                  <c:v>75.58</c:v>
                </c:pt>
                <c:pt idx="44">
                  <c:v>76</c:v>
                </c:pt>
                <c:pt idx="45">
                  <c:v>76.349999999999994</c:v>
                </c:pt>
                <c:pt idx="46">
                  <c:v>76.75</c:v>
                </c:pt>
                <c:pt idx="47">
                  <c:v>76.42</c:v>
                </c:pt>
                <c:pt idx="48">
                  <c:v>77.84</c:v>
                </c:pt>
                <c:pt idx="49">
                  <c:v>78.47</c:v>
                </c:pt>
                <c:pt idx="50">
                  <c:v>74.040000000000006</c:v>
                </c:pt>
                <c:pt idx="51">
                  <c:v>74</c:v>
                </c:pt>
                <c:pt idx="52">
                  <c:v>72.430000000000007</c:v>
                </c:pt>
                <c:pt idx="53">
                  <c:v>71.760000000000005</c:v>
                </c:pt>
                <c:pt idx="54">
                  <c:v>72.510000000000005</c:v>
                </c:pt>
                <c:pt idx="55">
                  <c:v>74.069999999999993</c:v>
                </c:pt>
                <c:pt idx="56">
                  <c:v>73.63</c:v>
                </c:pt>
                <c:pt idx="57">
                  <c:v>73.88</c:v>
                </c:pt>
                <c:pt idx="58">
                  <c:v>75.83</c:v>
                </c:pt>
                <c:pt idx="59">
                  <c:v>75.38</c:v>
                </c:pt>
                <c:pt idx="60">
                  <c:v>74.41</c:v>
                </c:pt>
                <c:pt idx="61">
                  <c:v>74.150000000000006</c:v>
                </c:pt>
                <c:pt idx="62">
                  <c:v>74.290000000000006</c:v>
                </c:pt>
                <c:pt idx="63">
                  <c:v>74.31</c:v>
                </c:pt>
                <c:pt idx="64">
                  <c:v>73.34</c:v>
                </c:pt>
                <c:pt idx="65">
                  <c:v>73.41</c:v>
                </c:pt>
                <c:pt idx="66">
                  <c:v>72.64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59264"/>
        <c:axId val="715059656"/>
      </c:lineChart>
      <c:catAx>
        <c:axId val="715059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9656"/>
        <c:crosses val="autoZero"/>
        <c:auto val="1"/>
        <c:lblAlgn val="ctr"/>
        <c:lblOffset val="100"/>
        <c:noMultiLvlLbl val="0"/>
      </c:catAx>
      <c:valAx>
        <c:axId val="715059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68.44</c:v>
                </c:pt>
                <c:pt idx="2">
                  <c:v>67.92</c:v>
                </c:pt>
                <c:pt idx="3">
                  <c:v>69.58</c:v>
                </c:pt>
                <c:pt idx="4">
                  <c:v>68.72</c:v>
                </c:pt>
                <c:pt idx="5">
                  <c:v>69.66</c:v>
                </c:pt>
                <c:pt idx="6">
                  <c:v>69.16</c:v>
                </c:pt>
                <c:pt idx="7">
                  <c:v>68.17</c:v>
                </c:pt>
                <c:pt idx="8">
                  <c:v>69.19</c:v>
                </c:pt>
                <c:pt idx="9">
                  <c:v>69.2</c:v>
                </c:pt>
                <c:pt idx="10">
                  <c:v>70.19</c:v>
                </c:pt>
                <c:pt idx="11">
                  <c:v>69.47</c:v>
                </c:pt>
                <c:pt idx="12">
                  <c:v>69.05</c:v>
                </c:pt>
                <c:pt idx="13">
                  <c:v>69.23</c:v>
                </c:pt>
                <c:pt idx="14">
                  <c:v>69.180000000000007</c:v>
                </c:pt>
                <c:pt idx="15">
                  <c:v>70.25</c:v>
                </c:pt>
                <c:pt idx="16">
                  <c:v>70.39</c:v>
                </c:pt>
                <c:pt idx="17">
                  <c:v>70.16</c:v>
                </c:pt>
                <c:pt idx="18">
                  <c:v>70.08</c:v>
                </c:pt>
                <c:pt idx="19">
                  <c:v>70.459999999999994</c:v>
                </c:pt>
                <c:pt idx="20">
                  <c:v>70</c:v>
                </c:pt>
                <c:pt idx="21">
                  <c:v>69.47</c:v>
                </c:pt>
                <c:pt idx="22">
                  <c:v>70.14</c:v>
                </c:pt>
                <c:pt idx="23">
                  <c:v>69.22</c:v>
                </c:pt>
                <c:pt idx="24">
                  <c:v>70.64</c:v>
                </c:pt>
                <c:pt idx="25">
                  <c:v>70.290000000000006</c:v>
                </c:pt>
                <c:pt idx="26">
                  <c:v>70.069999999999993</c:v>
                </c:pt>
                <c:pt idx="27">
                  <c:v>70.84</c:v>
                </c:pt>
                <c:pt idx="28">
                  <c:v>71.099999999999994</c:v>
                </c:pt>
                <c:pt idx="29">
                  <c:v>69.84</c:v>
                </c:pt>
                <c:pt idx="30">
                  <c:v>68.97</c:v>
                </c:pt>
                <c:pt idx="31">
                  <c:v>68.94</c:v>
                </c:pt>
                <c:pt idx="32">
                  <c:v>68.39</c:v>
                </c:pt>
                <c:pt idx="33">
                  <c:v>67.73</c:v>
                </c:pt>
                <c:pt idx="34">
                  <c:v>67.38</c:v>
                </c:pt>
                <c:pt idx="35">
                  <c:v>67.290000000000006</c:v>
                </c:pt>
                <c:pt idx="36">
                  <c:v>67.98</c:v>
                </c:pt>
                <c:pt idx="37">
                  <c:v>67.959999999999994</c:v>
                </c:pt>
                <c:pt idx="38">
                  <c:v>67.81</c:v>
                </c:pt>
                <c:pt idx="39">
                  <c:v>67.7</c:v>
                </c:pt>
                <c:pt idx="40">
                  <c:v>67.27</c:v>
                </c:pt>
                <c:pt idx="41">
                  <c:v>67.36</c:v>
                </c:pt>
                <c:pt idx="42">
                  <c:v>67.930000000000007</c:v>
                </c:pt>
                <c:pt idx="43">
                  <c:v>67.95</c:v>
                </c:pt>
                <c:pt idx="44">
                  <c:v>65.150000000000006</c:v>
                </c:pt>
                <c:pt idx="45">
                  <c:v>63.51</c:v>
                </c:pt>
                <c:pt idx="46">
                  <c:v>63.26</c:v>
                </c:pt>
                <c:pt idx="47">
                  <c:v>62.85</c:v>
                </c:pt>
                <c:pt idx="49">
                  <c:v>60.05</c:v>
                </c:pt>
                <c:pt idx="50">
                  <c:v>60.45</c:v>
                </c:pt>
                <c:pt idx="51">
                  <c:v>59.11</c:v>
                </c:pt>
                <c:pt idx="52">
                  <c:v>57.31</c:v>
                </c:pt>
                <c:pt idx="53">
                  <c:v>57.45</c:v>
                </c:pt>
                <c:pt idx="54">
                  <c:v>57.67</c:v>
                </c:pt>
                <c:pt idx="55">
                  <c:v>58.98</c:v>
                </c:pt>
                <c:pt idx="56">
                  <c:v>58.54</c:v>
                </c:pt>
                <c:pt idx="57">
                  <c:v>58.42</c:v>
                </c:pt>
                <c:pt idx="58">
                  <c:v>58.91</c:v>
                </c:pt>
                <c:pt idx="59">
                  <c:v>58.45</c:v>
                </c:pt>
                <c:pt idx="60">
                  <c:v>58.88</c:v>
                </c:pt>
                <c:pt idx="61">
                  <c:v>58.51</c:v>
                </c:pt>
                <c:pt idx="62">
                  <c:v>58.65</c:v>
                </c:pt>
                <c:pt idx="63">
                  <c:v>59.21</c:v>
                </c:pt>
                <c:pt idx="64">
                  <c:v>59.28</c:v>
                </c:pt>
                <c:pt idx="65">
                  <c:v>59.54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61616"/>
        <c:axId val="715062008"/>
      </c:lineChart>
      <c:dateAx>
        <c:axId val="71506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2008"/>
        <c:crosses val="autoZero"/>
        <c:auto val="1"/>
        <c:lblOffset val="100"/>
        <c:baseTimeUnit val="days"/>
      </c:dateAx>
      <c:valAx>
        <c:axId val="715062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62.42</c:v>
                </c:pt>
                <c:pt idx="1">
                  <c:v>61.65</c:v>
                </c:pt>
                <c:pt idx="2">
                  <c:v>62.08</c:v>
                </c:pt>
                <c:pt idx="3">
                  <c:v>61.98</c:v>
                </c:pt>
                <c:pt idx="4">
                  <c:v>61.08</c:v>
                </c:pt>
                <c:pt idx="5">
                  <c:v>61.27</c:v>
                </c:pt>
                <c:pt idx="6">
                  <c:v>60.98</c:v>
                </c:pt>
                <c:pt idx="7">
                  <c:v>60.45</c:v>
                </c:pt>
                <c:pt idx="8">
                  <c:v>60.56</c:v>
                </c:pt>
                <c:pt idx="9">
                  <c:v>61.47</c:v>
                </c:pt>
                <c:pt idx="11">
                  <c:v>62.25</c:v>
                </c:pt>
                <c:pt idx="12">
                  <c:v>62.07</c:v>
                </c:pt>
                <c:pt idx="13">
                  <c:v>62.09</c:v>
                </c:pt>
                <c:pt idx="14">
                  <c:v>61.77</c:v>
                </c:pt>
                <c:pt idx="15">
                  <c:v>62.36</c:v>
                </c:pt>
                <c:pt idx="16">
                  <c:v>61.89</c:v>
                </c:pt>
                <c:pt idx="17">
                  <c:v>62.2</c:v>
                </c:pt>
                <c:pt idx="18">
                  <c:v>62.16</c:v>
                </c:pt>
                <c:pt idx="19">
                  <c:v>62.46</c:v>
                </c:pt>
                <c:pt idx="20">
                  <c:v>62.39</c:v>
                </c:pt>
                <c:pt idx="21">
                  <c:v>61.45</c:v>
                </c:pt>
                <c:pt idx="22">
                  <c:v>63.06</c:v>
                </c:pt>
                <c:pt idx="23">
                  <c:v>63.5</c:v>
                </c:pt>
                <c:pt idx="24">
                  <c:v>62.82</c:v>
                </c:pt>
                <c:pt idx="25">
                  <c:v>62.87</c:v>
                </c:pt>
                <c:pt idx="26">
                  <c:v>63.74</c:v>
                </c:pt>
                <c:pt idx="27">
                  <c:v>63.87</c:v>
                </c:pt>
                <c:pt idx="28">
                  <c:v>63.2</c:v>
                </c:pt>
                <c:pt idx="29">
                  <c:v>62.48</c:v>
                </c:pt>
                <c:pt idx="30">
                  <c:v>62.99</c:v>
                </c:pt>
                <c:pt idx="31">
                  <c:v>61.03</c:v>
                </c:pt>
                <c:pt idx="32">
                  <c:v>61.13</c:v>
                </c:pt>
                <c:pt idx="33">
                  <c:v>60.94</c:v>
                </c:pt>
                <c:pt idx="34">
                  <c:v>60.59</c:v>
                </c:pt>
                <c:pt idx="35">
                  <c:v>60.94</c:v>
                </c:pt>
                <c:pt idx="36">
                  <c:v>62.66</c:v>
                </c:pt>
                <c:pt idx="37">
                  <c:v>62.08</c:v>
                </c:pt>
                <c:pt idx="38">
                  <c:v>62.3</c:v>
                </c:pt>
                <c:pt idx="39">
                  <c:v>61.48</c:v>
                </c:pt>
                <c:pt idx="40">
                  <c:v>62.68</c:v>
                </c:pt>
                <c:pt idx="41">
                  <c:v>61.63</c:v>
                </c:pt>
                <c:pt idx="42">
                  <c:v>61.26</c:v>
                </c:pt>
                <c:pt idx="43">
                  <c:v>61.36</c:v>
                </c:pt>
                <c:pt idx="44">
                  <c:v>61.26</c:v>
                </c:pt>
                <c:pt idx="45">
                  <c:v>61.3</c:v>
                </c:pt>
                <c:pt idx="46">
                  <c:v>61.2</c:v>
                </c:pt>
                <c:pt idx="47">
                  <c:v>61.04</c:v>
                </c:pt>
                <c:pt idx="48">
                  <c:v>61.07</c:v>
                </c:pt>
                <c:pt idx="49">
                  <c:v>62.74</c:v>
                </c:pt>
                <c:pt idx="50">
                  <c:v>63.71</c:v>
                </c:pt>
                <c:pt idx="51">
                  <c:v>61.83</c:v>
                </c:pt>
                <c:pt idx="52">
                  <c:v>60.65</c:v>
                </c:pt>
                <c:pt idx="53">
                  <c:v>61.12</c:v>
                </c:pt>
                <c:pt idx="54">
                  <c:v>61.38</c:v>
                </c:pt>
                <c:pt idx="55">
                  <c:v>61.63</c:v>
                </c:pt>
                <c:pt idx="56">
                  <c:v>61.98</c:v>
                </c:pt>
                <c:pt idx="57">
                  <c:v>61.66</c:v>
                </c:pt>
                <c:pt idx="58">
                  <c:v>60.72</c:v>
                </c:pt>
                <c:pt idx="59">
                  <c:v>60.84</c:v>
                </c:pt>
                <c:pt idx="60">
                  <c:v>61.1</c:v>
                </c:pt>
                <c:pt idx="61">
                  <c:v>60.89</c:v>
                </c:pt>
                <c:pt idx="62">
                  <c:v>60.71</c:v>
                </c:pt>
                <c:pt idx="63">
                  <c:v>61</c:v>
                </c:pt>
                <c:pt idx="64">
                  <c:v>61.57</c:v>
                </c:pt>
                <c:pt idx="65">
                  <c:v>61.91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63968"/>
        <c:axId val="715064360"/>
      </c:lineChart>
      <c:dateAx>
        <c:axId val="71506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4360"/>
        <c:crosses val="autoZero"/>
        <c:auto val="1"/>
        <c:lblOffset val="100"/>
        <c:baseTimeUnit val="days"/>
      </c:dateAx>
      <c:valAx>
        <c:axId val="715064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37.299999999999997</c:v>
                </c:pt>
                <c:pt idx="2">
                  <c:v>37.47</c:v>
                </c:pt>
                <c:pt idx="3">
                  <c:v>37.31</c:v>
                </c:pt>
                <c:pt idx="4">
                  <c:v>37.340000000000003</c:v>
                </c:pt>
                <c:pt idx="5">
                  <c:v>37.51</c:v>
                </c:pt>
                <c:pt idx="6">
                  <c:v>37.950000000000003</c:v>
                </c:pt>
                <c:pt idx="7">
                  <c:v>37.35</c:v>
                </c:pt>
                <c:pt idx="8">
                  <c:v>36.01</c:v>
                </c:pt>
                <c:pt idx="9">
                  <c:v>35.99</c:v>
                </c:pt>
                <c:pt idx="10">
                  <c:v>36.39</c:v>
                </c:pt>
                <c:pt idx="11">
                  <c:v>37.090000000000003</c:v>
                </c:pt>
                <c:pt idx="12">
                  <c:v>35.15</c:v>
                </c:pt>
                <c:pt idx="13">
                  <c:v>34.840000000000003</c:v>
                </c:pt>
                <c:pt idx="14">
                  <c:v>35.14</c:v>
                </c:pt>
                <c:pt idx="15">
                  <c:v>35.15</c:v>
                </c:pt>
                <c:pt idx="16">
                  <c:v>35.54</c:v>
                </c:pt>
                <c:pt idx="17">
                  <c:v>35.69</c:v>
                </c:pt>
                <c:pt idx="18">
                  <c:v>35.69</c:v>
                </c:pt>
                <c:pt idx="19">
                  <c:v>36.42</c:v>
                </c:pt>
                <c:pt idx="20">
                  <c:v>36.61</c:v>
                </c:pt>
                <c:pt idx="21">
                  <c:v>36.4</c:v>
                </c:pt>
                <c:pt idx="22">
                  <c:v>36.369999999999997</c:v>
                </c:pt>
                <c:pt idx="23">
                  <c:v>36.24</c:v>
                </c:pt>
                <c:pt idx="24">
                  <c:v>35.950000000000003</c:v>
                </c:pt>
                <c:pt idx="25">
                  <c:v>37.36</c:v>
                </c:pt>
                <c:pt idx="26">
                  <c:v>37.1</c:v>
                </c:pt>
                <c:pt idx="27">
                  <c:v>37.659999999999997</c:v>
                </c:pt>
                <c:pt idx="28">
                  <c:v>36.42</c:v>
                </c:pt>
                <c:pt idx="29">
                  <c:v>36.299999999999997</c:v>
                </c:pt>
                <c:pt idx="30">
                  <c:v>35.07</c:v>
                </c:pt>
                <c:pt idx="31">
                  <c:v>34.94</c:v>
                </c:pt>
                <c:pt idx="33">
                  <c:v>35.409999999999997</c:v>
                </c:pt>
                <c:pt idx="34">
                  <c:v>36.43</c:v>
                </c:pt>
                <c:pt idx="35">
                  <c:v>34.53</c:v>
                </c:pt>
                <c:pt idx="36">
                  <c:v>34.57</c:v>
                </c:pt>
                <c:pt idx="37">
                  <c:v>34.049999999999997</c:v>
                </c:pt>
                <c:pt idx="38">
                  <c:v>34.25</c:v>
                </c:pt>
                <c:pt idx="39">
                  <c:v>33.86</c:v>
                </c:pt>
                <c:pt idx="40">
                  <c:v>33.81</c:v>
                </c:pt>
                <c:pt idx="41">
                  <c:v>33.01</c:v>
                </c:pt>
                <c:pt idx="42">
                  <c:v>33</c:v>
                </c:pt>
                <c:pt idx="43">
                  <c:v>33.42</c:v>
                </c:pt>
                <c:pt idx="44">
                  <c:v>33.229999999999997</c:v>
                </c:pt>
                <c:pt idx="45">
                  <c:v>33.43</c:v>
                </c:pt>
                <c:pt idx="46">
                  <c:v>33.28</c:v>
                </c:pt>
                <c:pt idx="47">
                  <c:v>34.020000000000003</c:v>
                </c:pt>
                <c:pt idx="48">
                  <c:v>32.729999999999997</c:v>
                </c:pt>
                <c:pt idx="49">
                  <c:v>30.96</c:v>
                </c:pt>
                <c:pt idx="50">
                  <c:v>31.73</c:v>
                </c:pt>
                <c:pt idx="51">
                  <c:v>32.020000000000003</c:v>
                </c:pt>
                <c:pt idx="52">
                  <c:v>31.16</c:v>
                </c:pt>
                <c:pt idx="53">
                  <c:v>31.07</c:v>
                </c:pt>
                <c:pt idx="54">
                  <c:v>31.45</c:v>
                </c:pt>
                <c:pt idx="55">
                  <c:v>31.48</c:v>
                </c:pt>
                <c:pt idx="56">
                  <c:v>31.6</c:v>
                </c:pt>
                <c:pt idx="57">
                  <c:v>31.32</c:v>
                </c:pt>
                <c:pt idx="58">
                  <c:v>31.33</c:v>
                </c:pt>
                <c:pt idx="59">
                  <c:v>31.58</c:v>
                </c:pt>
                <c:pt idx="60">
                  <c:v>31.6</c:v>
                </c:pt>
                <c:pt idx="61">
                  <c:v>32.979999999999997</c:v>
                </c:pt>
                <c:pt idx="62">
                  <c:v>32.04</c:v>
                </c:pt>
                <c:pt idx="63">
                  <c:v>31.75</c:v>
                </c:pt>
                <c:pt idx="64">
                  <c:v>31.85</c:v>
                </c:pt>
                <c:pt idx="65">
                  <c:v>31.4</c:v>
                </c:pt>
                <c:pt idx="66">
                  <c:v>31.56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66320"/>
        <c:axId val="715066712"/>
      </c:lineChart>
      <c:catAx>
        <c:axId val="715066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6712"/>
        <c:crosses val="autoZero"/>
        <c:auto val="1"/>
        <c:lblAlgn val="ctr"/>
        <c:lblOffset val="100"/>
        <c:noMultiLvlLbl val="0"/>
      </c:catAx>
      <c:valAx>
        <c:axId val="715066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143.51</c:v>
                </c:pt>
                <c:pt idx="1">
                  <c:v>144.32</c:v>
                </c:pt>
                <c:pt idx="2">
                  <c:v>144.66</c:v>
                </c:pt>
                <c:pt idx="3">
                  <c:v>145.05000000000001</c:v>
                </c:pt>
                <c:pt idx="4">
                  <c:v>146.29</c:v>
                </c:pt>
                <c:pt idx="5">
                  <c:v>145.97</c:v>
                </c:pt>
                <c:pt idx="6">
                  <c:v>146.22</c:v>
                </c:pt>
                <c:pt idx="7">
                  <c:v>147.78</c:v>
                </c:pt>
                <c:pt idx="8">
                  <c:v>147.49</c:v>
                </c:pt>
                <c:pt idx="9">
                  <c:v>147.27000000000001</c:v>
                </c:pt>
                <c:pt idx="10">
                  <c:v>145.38</c:v>
                </c:pt>
                <c:pt idx="11">
                  <c:v>145.16</c:v>
                </c:pt>
                <c:pt idx="12">
                  <c:v>143.66999999999999</c:v>
                </c:pt>
                <c:pt idx="13">
                  <c:v>141.1</c:v>
                </c:pt>
                <c:pt idx="14">
                  <c:v>141.47999999999999</c:v>
                </c:pt>
                <c:pt idx="15">
                  <c:v>141.22</c:v>
                </c:pt>
                <c:pt idx="16">
                  <c:v>142.41</c:v>
                </c:pt>
                <c:pt idx="17">
                  <c:v>141.84</c:v>
                </c:pt>
                <c:pt idx="18">
                  <c:v>140.52000000000001</c:v>
                </c:pt>
                <c:pt idx="19">
                  <c:v>140.77000000000001</c:v>
                </c:pt>
                <c:pt idx="20">
                  <c:v>141.80000000000001</c:v>
                </c:pt>
                <c:pt idx="21">
                  <c:v>141.25</c:v>
                </c:pt>
                <c:pt idx="22">
                  <c:v>142.54</c:v>
                </c:pt>
                <c:pt idx="23">
                  <c:v>143.5</c:v>
                </c:pt>
                <c:pt idx="24">
                  <c:v>143.80000000000001</c:v>
                </c:pt>
                <c:pt idx="25">
                  <c:v>145.9</c:v>
                </c:pt>
                <c:pt idx="27">
                  <c:v>145.18</c:v>
                </c:pt>
                <c:pt idx="28">
                  <c:v>145.41</c:v>
                </c:pt>
                <c:pt idx="29">
                  <c:v>143.07</c:v>
                </c:pt>
                <c:pt idx="30">
                  <c:v>141.85</c:v>
                </c:pt>
                <c:pt idx="31">
                  <c:v>143.59</c:v>
                </c:pt>
                <c:pt idx="32">
                  <c:v>141.38</c:v>
                </c:pt>
                <c:pt idx="33">
                  <c:v>141.91</c:v>
                </c:pt>
                <c:pt idx="34">
                  <c:v>139.63</c:v>
                </c:pt>
                <c:pt idx="35">
                  <c:v>140.11000000000001</c:v>
                </c:pt>
                <c:pt idx="36">
                  <c:v>141.27000000000001</c:v>
                </c:pt>
                <c:pt idx="37">
                  <c:v>140.32</c:v>
                </c:pt>
                <c:pt idx="38">
                  <c:v>144.18</c:v>
                </c:pt>
                <c:pt idx="39">
                  <c:v>143.51</c:v>
                </c:pt>
                <c:pt idx="40">
                  <c:v>143</c:v>
                </c:pt>
                <c:pt idx="41">
                  <c:v>146.16999999999999</c:v>
                </c:pt>
                <c:pt idx="42">
                  <c:v>145.81</c:v>
                </c:pt>
                <c:pt idx="43">
                  <c:v>148.88</c:v>
                </c:pt>
                <c:pt idx="44">
                  <c:v>149.49</c:v>
                </c:pt>
                <c:pt idx="45">
                  <c:v>148.66</c:v>
                </c:pt>
                <c:pt idx="46">
                  <c:v>148.02000000000001</c:v>
                </c:pt>
                <c:pt idx="47">
                  <c:v>151.25</c:v>
                </c:pt>
                <c:pt idx="48">
                  <c:v>154.35</c:v>
                </c:pt>
                <c:pt idx="49">
                  <c:v>152.05000000000001</c:v>
                </c:pt>
                <c:pt idx="50">
                  <c:v>152.56</c:v>
                </c:pt>
                <c:pt idx="51">
                  <c:v>151.81</c:v>
                </c:pt>
                <c:pt idx="52">
                  <c:v>146.57</c:v>
                </c:pt>
                <c:pt idx="53">
                  <c:v>146.08000000000001</c:v>
                </c:pt>
                <c:pt idx="54">
                  <c:v>145.80000000000001</c:v>
                </c:pt>
                <c:pt idx="55">
                  <c:v>146.02000000000001</c:v>
                </c:pt>
                <c:pt idx="56">
                  <c:v>147.03</c:v>
                </c:pt>
                <c:pt idx="57">
                  <c:v>147.21</c:v>
                </c:pt>
                <c:pt idx="58">
                  <c:v>149.22</c:v>
                </c:pt>
                <c:pt idx="59">
                  <c:v>148.04</c:v>
                </c:pt>
                <c:pt idx="60">
                  <c:v>147.97</c:v>
                </c:pt>
                <c:pt idx="61">
                  <c:v>153.11000000000001</c:v>
                </c:pt>
                <c:pt idx="62">
                  <c:v>150.66</c:v>
                </c:pt>
                <c:pt idx="63">
                  <c:v>151.66</c:v>
                </c:pt>
                <c:pt idx="64">
                  <c:v>151.80000000000001</c:v>
                </c:pt>
                <c:pt idx="65">
                  <c:v>151.66999999999999</c:v>
                </c:pt>
                <c:pt idx="66">
                  <c:v>150.78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68672"/>
        <c:axId val="715069064"/>
      </c:lineChart>
      <c:catAx>
        <c:axId val="715068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9064"/>
        <c:crosses val="autoZero"/>
        <c:auto val="1"/>
        <c:lblAlgn val="ctr"/>
        <c:lblOffset val="100"/>
        <c:noMultiLvlLbl val="0"/>
      </c:catAx>
      <c:valAx>
        <c:axId val="715069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42.95</c:v>
                </c:pt>
                <c:pt idx="1">
                  <c:v>43.35</c:v>
                </c:pt>
                <c:pt idx="2">
                  <c:v>43.85</c:v>
                </c:pt>
                <c:pt idx="3">
                  <c:v>43.8</c:v>
                </c:pt>
                <c:pt idx="4">
                  <c:v>44.2</c:v>
                </c:pt>
                <c:pt idx="5">
                  <c:v>42.85</c:v>
                </c:pt>
                <c:pt idx="6">
                  <c:v>43.35</c:v>
                </c:pt>
                <c:pt idx="7">
                  <c:v>42.35</c:v>
                </c:pt>
                <c:pt idx="8">
                  <c:v>41.6</c:v>
                </c:pt>
                <c:pt idx="9">
                  <c:v>42.15</c:v>
                </c:pt>
                <c:pt idx="10">
                  <c:v>41.5</c:v>
                </c:pt>
                <c:pt idx="11">
                  <c:v>41.45</c:v>
                </c:pt>
                <c:pt idx="12">
                  <c:v>40.950000000000003</c:v>
                </c:pt>
                <c:pt idx="13">
                  <c:v>39.700000000000003</c:v>
                </c:pt>
                <c:pt idx="14">
                  <c:v>39.950000000000003</c:v>
                </c:pt>
                <c:pt idx="15">
                  <c:v>39.950000000000003</c:v>
                </c:pt>
                <c:pt idx="16">
                  <c:v>40.65</c:v>
                </c:pt>
                <c:pt idx="17">
                  <c:v>40.65</c:v>
                </c:pt>
                <c:pt idx="18">
                  <c:v>40.549999999999997</c:v>
                </c:pt>
                <c:pt idx="19">
                  <c:v>40.75</c:v>
                </c:pt>
                <c:pt idx="20">
                  <c:v>40.950000000000003</c:v>
                </c:pt>
                <c:pt idx="21">
                  <c:v>40.1</c:v>
                </c:pt>
                <c:pt idx="22">
                  <c:v>39.65</c:v>
                </c:pt>
                <c:pt idx="23">
                  <c:v>39.5</c:v>
                </c:pt>
                <c:pt idx="24">
                  <c:v>39.4</c:v>
                </c:pt>
                <c:pt idx="25">
                  <c:v>40.15</c:v>
                </c:pt>
                <c:pt idx="26">
                  <c:v>39.85</c:v>
                </c:pt>
                <c:pt idx="27">
                  <c:v>39.299999999999997</c:v>
                </c:pt>
                <c:pt idx="28">
                  <c:v>40.200000000000003</c:v>
                </c:pt>
                <c:pt idx="29">
                  <c:v>39.950000000000003</c:v>
                </c:pt>
                <c:pt idx="30">
                  <c:v>39.1</c:v>
                </c:pt>
                <c:pt idx="31">
                  <c:v>39.15</c:v>
                </c:pt>
                <c:pt idx="32">
                  <c:v>39.450000000000003</c:v>
                </c:pt>
                <c:pt idx="33">
                  <c:v>39.1</c:v>
                </c:pt>
                <c:pt idx="34">
                  <c:v>39.049999999999997</c:v>
                </c:pt>
                <c:pt idx="35">
                  <c:v>38.65</c:v>
                </c:pt>
                <c:pt idx="36">
                  <c:v>39.200000000000003</c:v>
                </c:pt>
                <c:pt idx="37">
                  <c:v>39.6</c:v>
                </c:pt>
                <c:pt idx="38">
                  <c:v>39.549999999999997</c:v>
                </c:pt>
                <c:pt idx="39">
                  <c:v>39.65</c:v>
                </c:pt>
                <c:pt idx="40">
                  <c:v>38.6</c:v>
                </c:pt>
                <c:pt idx="41">
                  <c:v>38.25</c:v>
                </c:pt>
                <c:pt idx="43">
                  <c:v>38.6</c:v>
                </c:pt>
                <c:pt idx="44">
                  <c:v>38.65</c:v>
                </c:pt>
                <c:pt idx="45">
                  <c:v>39.65</c:v>
                </c:pt>
                <c:pt idx="46">
                  <c:v>39.15</c:v>
                </c:pt>
                <c:pt idx="47">
                  <c:v>38.4</c:v>
                </c:pt>
                <c:pt idx="48">
                  <c:v>38.450000000000003</c:v>
                </c:pt>
                <c:pt idx="49">
                  <c:v>36.75</c:v>
                </c:pt>
                <c:pt idx="50">
                  <c:v>33.950000000000003</c:v>
                </c:pt>
                <c:pt idx="51">
                  <c:v>33.75</c:v>
                </c:pt>
                <c:pt idx="52">
                  <c:v>32.299999999999997</c:v>
                </c:pt>
                <c:pt idx="53">
                  <c:v>32</c:v>
                </c:pt>
                <c:pt idx="54">
                  <c:v>32.049999999999997</c:v>
                </c:pt>
                <c:pt idx="55">
                  <c:v>32.6</c:v>
                </c:pt>
                <c:pt idx="56">
                  <c:v>33.049999999999997</c:v>
                </c:pt>
                <c:pt idx="57">
                  <c:v>32.979999999999997</c:v>
                </c:pt>
                <c:pt idx="58">
                  <c:v>33.200000000000003</c:v>
                </c:pt>
                <c:pt idx="59">
                  <c:v>34.950000000000003</c:v>
                </c:pt>
                <c:pt idx="60">
                  <c:v>34.590000000000003</c:v>
                </c:pt>
                <c:pt idx="61">
                  <c:v>34.4</c:v>
                </c:pt>
                <c:pt idx="62">
                  <c:v>34.46</c:v>
                </c:pt>
                <c:pt idx="63">
                  <c:v>34.21</c:v>
                </c:pt>
                <c:pt idx="64">
                  <c:v>34.590000000000003</c:v>
                </c:pt>
                <c:pt idx="65">
                  <c:v>34.65</c:v>
                </c:pt>
                <c:pt idx="66">
                  <c:v>34.520000000000003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71024"/>
        <c:axId val="715071416"/>
      </c:lineChart>
      <c:catAx>
        <c:axId val="71507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1416"/>
        <c:crosses val="autoZero"/>
        <c:auto val="1"/>
        <c:lblAlgn val="ctr"/>
        <c:lblOffset val="100"/>
        <c:noMultiLvlLbl val="0"/>
      </c:catAx>
      <c:valAx>
        <c:axId val="715071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110.79</c:v>
                </c:pt>
                <c:pt idx="1">
                  <c:v>110.73</c:v>
                </c:pt>
                <c:pt idx="2">
                  <c:v>110.42</c:v>
                </c:pt>
                <c:pt idx="3">
                  <c:v>109.97</c:v>
                </c:pt>
                <c:pt idx="4">
                  <c:v>110.22</c:v>
                </c:pt>
                <c:pt idx="5">
                  <c:v>110.82</c:v>
                </c:pt>
                <c:pt idx="6">
                  <c:v>111</c:v>
                </c:pt>
                <c:pt idx="7">
                  <c:v>111.26</c:v>
                </c:pt>
                <c:pt idx="8">
                  <c:v>111.5</c:v>
                </c:pt>
                <c:pt idx="9">
                  <c:v>112.55</c:v>
                </c:pt>
                <c:pt idx="10">
                  <c:v>111.35</c:v>
                </c:pt>
                <c:pt idx="11">
                  <c:v>110.9</c:v>
                </c:pt>
                <c:pt idx="12">
                  <c:v>110.83</c:v>
                </c:pt>
                <c:pt idx="13">
                  <c:v>109.62</c:v>
                </c:pt>
                <c:pt idx="14">
                  <c:v>110.55</c:v>
                </c:pt>
                <c:pt idx="15">
                  <c:v>110.19</c:v>
                </c:pt>
                <c:pt idx="16">
                  <c:v>110.98</c:v>
                </c:pt>
                <c:pt idx="17">
                  <c:v>110.65</c:v>
                </c:pt>
                <c:pt idx="18">
                  <c:v>110.46</c:v>
                </c:pt>
                <c:pt idx="19">
                  <c:v>110.49</c:v>
                </c:pt>
                <c:pt idx="20">
                  <c:v>110.65</c:v>
                </c:pt>
                <c:pt idx="21">
                  <c:v>110.82</c:v>
                </c:pt>
                <c:pt idx="22">
                  <c:v>108.52</c:v>
                </c:pt>
                <c:pt idx="23">
                  <c:v>108.13</c:v>
                </c:pt>
                <c:pt idx="24">
                  <c:v>109.27</c:v>
                </c:pt>
                <c:pt idx="25">
                  <c:v>110.31</c:v>
                </c:pt>
                <c:pt idx="26">
                  <c:v>110.39</c:v>
                </c:pt>
                <c:pt idx="27">
                  <c:v>109.79</c:v>
                </c:pt>
                <c:pt idx="28">
                  <c:v>108.43</c:v>
                </c:pt>
                <c:pt idx="29">
                  <c:v>109.68</c:v>
                </c:pt>
                <c:pt idx="30">
                  <c:v>107.43</c:v>
                </c:pt>
                <c:pt idx="31">
                  <c:v>107.42</c:v>
                </c:pt>
                <c:pt idx="32">
                  <c:v>108.22</c:v>
                </c:pt>
                <c:pt idx="33">
                  <c:v>107.48</c:v>
                </c:pt>
                <c:pt idx="34">
                  <c:v>107.72</c:v>
                </c:pt>
                <c:pt idx="35">
                  <c:v>108.84</c:v>
                </c:pt>
                <c:pt idx="36">
                  <c:v>108.45</c:v>
                </c:pt>
                <c:pt idx="37">
                  <c:v>108.78</c:v>
                </c:pt>
                <c:pt idx="38">
                  <c:v>108.11</c:v>
                </c:pt>
                <c:pt idx="39">
                  <c:v>106.94</c:v>
                </c:pt>
                <c:pt idx="40">
                  <c:v>106.85</c:v>
                </c:pt>
                <c:pt idx="41">
                  <c:v>106.5</c:v>
                </c:pt>
                <c:pt idx="42">
                  <c:v>106.7</c:v>
                </c:pt>
                <c:pt idx="43">
                  <c:v>106.96</c:v>
                </c:pt>
                <c:pt idx="45">
                  <c:v>107.68</c:v>
                </c:pt>
                <c:pt idx="46">
                  <c:v>107.86</c:v>
                </c:pt>
                <c:pt idx="47">
                  <c:v>108.86</c:v>
                </c:pt>
                <c:pt idx="48">
                  <c:v>108.41</c:v>
                </c:pt>
                <c:pt idx="49">
                  <c:v>104.81</c:v>
                </c:pt>
                <c:pt idx="50">
                  <c:v>103.37</c:v>
                </c:pt>
                <c:pt idx="51">
                  <c:v>103.05</c:v>
                </c:pt>
                <c:pt idx="52">
                  <c:v>101.33</c:v>
                </c:pt>
                <c:pt idx="53">
                  <c:v>101.05</c:v>
                </c:pt>
                <c:pt idx="54">
                  <c:v>101.54</c:v>
                </c:pt>
                <c:pt idx="55">
                  <c:v>102.01</c:v>
                </c:pt>
                <c:pt idx="56">
                  <c:v>102.2</c:v>
                </c:pt>
                <c:pt idx="57">
                  <c:v>101.84</c:v>
                </c:pt>
                <c:pt idx="58">
                  <c:v>100.07</c:v>
                </c:pt>
                <c:pt idx="59">
                  <c:v>101.01</c:v>
                </c:pt>
                <c:pt idx="60">
                  <c:v>101.36</c:v>
                </c:pt>
                <c:pt idx="61">
                  <c:v>99.52</c:v>
                </c:pt>
                <c:pt idx="62">
                  <c:v>98.67</c:v>
                </c:pt>
                <c:pt idx="63">
                  <c:v>99.29</c:v>
                </c:pt>
                <c:pt idx="64">
                  <c:v>99.76</c:v>
                </c:pt>
                <c:pt idx="65">
                  <c:v>99.99</c:v>
                </c:pt>
                <c:pt idx="66">
                  <c:v>99.71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73376"/>
        <c:axId val="715073768"/>
      </c:lineChart>
      <c:dateAx>
        <c:axId val="715073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3768"/>
        <c:crosses val="autoZero"/>
        <c:auto val="1"/>
        <c:lblOffset val="100"/>
        <c:baseTimeUnit val="days"/>
      </c:dateAx>
      <c:valAx>
        <c:axId val="715073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158.66</c:v>
                </c:pt>
                <c:pt idx="1">
                  <c:v>158.69999999999999</c:v>
                </c:pt>
                <c:pt idx="2">
                  <c:v>157.74</c:v>
                </c:pt>
                <c:pt idx="3">
                  <c:v>160.66</c:v>
                </c:pt>
                <c:pt idx="4">
                  <c:v>161.80000000000001</c:v>
                </c:pt>
                <c:pt idx="5">
                  <c:v>162.36000000000001</c:v>
                </c:pt>
                <c:pt idx="6">
                  <c:v>161.88999999999999</c:v>
                </c:pt>
                <c:pt idx="7">
                  <c:v>161.58000000000001</c:v>
                </c:pt>
                <c:pt idx="8">
                  <c:v>161.94999999999999</c:v>
                </c:pt>
                <c:pt idx="9">
                  <c:v>162.41</c:v>
                </c:pt>
                <c:pt idx="10">
                  <c:v>162.18</c:v>
                </c:pt>
                <c:pt idx="11">
                  <c:v>161.91</c:v>
                </c:pt>
                <c:pt idx="12">
                  <c:v>161.44999999999999</c:v>
                </c:pt>
                <c:pt idx="13">
                  <c:v>160.04</c:v>
                </c:pt>
                <c:pt idx="14">
                  <c:v>161.04</c:v>
                </c:pt>
                <c:pt idx="15">
                  <c:v>161.44</c:v>
                </c:pt>
                <c:pt idx="16">
                  <c:v>162.63999999999999</c:v>
                </c:pt>
                <c:pt idx="17">
                  <c:v>163.03</c:v>
                </c:pt>
                <c:pt idx="18">
                  <c:v>161.58000000000001</c:v>
                </c:pt>
                <c:pt idx="19">
                  <c:v>161.33000000000001</c:v>
                </c:pt>
                <c:pt idx="20">
                  <c:v>161.59</c:v>
                </c:pt>
                <c:pt idx="21">
                  <c:v>161.54</c:v>
                </c:pt>
                <c:pt idx="22">
                  <c:v>163.94</c:v>
                </c:pt>
                <c:pt idx="23">
                  <c:v>160.62</c:v>
                </c:pt>
                <c:pt idx="24">
                  <c:v>159.86000000000001</c:v>
                </c:pt>
                <c:pt idx="25">
                  <c:v>160.54</c:v>
                </c:pt>
                <c:pt idx="26">
                  <c:v>159.49</c:v>
                </c:pt>
                <c:pt idx="27">
                  <c:v>160.12</c:v>
                </c:pt>
                <c:pt idx="28">
                  <c:v>159.32</c:v>
                </c:pt>
                <c:pt idx="29">
                  <c:v>159.4</c:v>
                </c:pt>
                <c:pt idx="30">
                  <c:v>157.32</c:v>
                </c:pt>
                <c:pt idx="31">
                  <c:v>157.63</c:v>
                </c:pt>
                <c:pt idx="32">
                  <c:v>160.72999999999999</c:v>
                </c:pt>
                <c:pt idx="33">
                  <c:v>160.94</c:v>
                </c:pt>
                <c:pt idx="34">
                  <c:v>158.32</c:v>
                </c:pt>
                <c:pt idx="36">
                  <c:v>157.59</c:v>
                </c:pt>
                <c:pt idx="37">
                  <c:v>152.11000000000001</c:v>
                </c:pt>
                <c:pt idx="38">
                  <c:v>152.81</c:v>
                </c:pt>
                <c:pt idx="39">
                  <c:v>153.54</c:v>
                </c:pt>
                <c:pt idx="40">
                  <c:v>152.26</c:v>
                </c:pt>
                <c:pt idx="41">
                  <c:v>150.41</c:v>
                </c:pt>
                <c:pt idx="42">
                  <c:v>149.44999999999999</c:v>
                </c:pt>
                <c:pt idx="43">
                  <c:v>150.77000000000001</c:v>
                </c:pt>
                <c:pt idx="44">
                  <c:v>151.5</c:v>
                </c:pt>
                <c:pt idx="45">
                  <c:v>152.22999999999999</c:v>
                </c:pt>
                <c:pt idx="46">
                  <c:v>152.28</c:v>
                </c:pt>
                <c:pt idx="47">
                  <c:v>146.41999999999999</c:v>
                </c:pt>
                <c:pt idx="48">
                  <c:v>146.13</c:v>
                </c:pt>
                <c:pt idx="49">
                  <c:v>141.9</c:v>
                </c:pt>
                <c:pt idx="50">
                  <c:v>142.9</c:v>
                </c:pt>
                <c:pt idx="51">
                  <c:v>141.93</c:v>
                </c:pt>
                <c:pt idx="52">
                  <c:v>137.71</c:v>
                </c:pt>
                <c:pt idx="53">
                  <c:v>137.83000000000001</c:v>
                </c:pt>
                <c:pt idx="54">
                  <c:v>138.97999999999999</c:v>
                </c:pt>
                <c:pt idx="55">
                  <c:v>139.43</c:v>
                </c:pt>
                <c:pt idx="56">
                  <c:v>141.33000000000001</c:v>
                </c:pt>
                <c:pt idx="57">
                  <c:v>140.35</c:v>
                </c:pt>
                <c:pt idx="58">
                  <c:v>141.94</c:v>
                </c:pt>
                <c:pt idx="59">
                  <c:v>142.22999999999999</c:v>
                </c:pt>
                <c:pt idx="60">
                  <c:v>143.78</c:v>
                </c:pt>
                <c:pt idx="61">
                  <c:v>144.69</c:v>
                </c:pt>
                <c:pt idx="62">
                  <c:v>145.37</c:v>
                </c:pt>
                <c:pt idx="63">
                  <c:v>145.07</c:v>
                </c:pt>
                <c:pt idx="64">
                  <c:v>144.37</c:v>
                </c:pt>
                <c:pt idx="65">
                  <c:v>143.38999999999999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75728"/>
        <c:axId val="715076120"/>
      </c:lineChart>
      <c:dateAx>
        <c:axId val="715075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6120"/>
        <c:crosses val="autoZero"/>
        <c:auto val="1"/>
        <c:lblOffset val="100"/>
        <c:baseTimeUnit val="days"/>
      </c:dateAx>
      <c:valAx>
        <c:axId val="715076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7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U18" sqref="U1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213</v>
      </c>
      <c r="L1" s="58" t="s">
        <v>182</v>
      </c>
      <c r="M1" s="58" t="s">
        <v>240</v>
      </c>
      <c r="N1" s="58" t="s">
        <v>92</v>
      </c>
      <c r="O1" s="361" t="s">
        <v>212</v>
      </c>
      <c r="P1" s="361" t="s">
        <v>300</v>
      </c>
    </row>
    <row r="2" spans="1:22" ht="21.95" customHeight="1" x14ac:dyDescent="0.25">
      <c r="A2" s="51"/>
      <c r="B2" s="51"/>
      <c r="C2" s="52"/>
      <c r="E2" s="23" t="s">
        <v>50</v>
      </c>
      <c r="F2" s="248">
        <v>17.61</v>
      </c>
      <c r="G2" s="50">
        <v>14.527688166666342</v>
      </c>
      <c r="H2" s="336">
        <v>6000</v>
      </c>
      <c r="I2" s="49">
        <v>87166.128999998051</v>
      </c>
      <c r="J2" s="376">
        <v>18493.871000001905</v>
      </c>
      <c r="K2" s="362">
        <v>0.21216808882269345</v>
      </c>
      <c r="L2" s="376">
        <v>18493.871000001905</v>
      </c>
      <c r="M2">
        <v>3000</v>
      </c>
      <c r="N2" s="373" t="str">
        <f>HYPERLINK("http://finance.yahoo.com/q?s=" &amp; E2, "Link")</f>
        <v>Link</v>
      </c>
      <c r="O2" s="372">
        <v>1.14E-2</v>
      </c>
      <c r="P2" s="372">
        <v>1.9699999999999999E-2</v>
      </c>
      <c r="Q2" s="450"/>
      <c r="R2" s="49"/>
      <c r="S2" s="49"/>
    </row>
    <row r="3" spans="1:22" ht="21.95" customHeight="1" x14ac:dyDescent="0.25">
      <c r="A3" s="51"/>
      <c r="B3" s="51"/>
      <c r="C3" s="52"/>
      <c r="E3" s="23" t="s">
        <v>17</v>
      </c>
      <c r="F3" s="248">
        <v>12.07</v>
      </c>
      <c r="G3" s="248">
        <v>24.788525000000082</v>
      </c>
      <c r="H3" s="336">
        <v>2000</v>
      </c>
      <c r="I3" s="49">
        <v>49577.050000000163</v>
      </c>
      <c r="J3" s="376">
        <v>-25437.050000000163</v>
      </c>
      <c r="K3" s="362">
        <v>-0.51308115347726579</v>
      </c>
      <c r="L3" s="376">
        <v>-25437.050000000163</v>
      </c>
      <c r="M3">
        <v>2000</v>
      </c>
      <c r="N3" s="373" t="str">
        <f>HYPERLINK("http://finance.yahoo.com/q?s=" &amp; E3, "Link")</f>
        <v>Link</v>
      </c>
      <c r="O3" s="372">
        <v>0</v>
      </c>
      <c r="P3" s="372">
        <v>-9.7999999999999997E-3</v>
      </c>
    </row>
    <row r="4" spans="1:22" ht="21.95" customHeight="1" x14ac:dyDescent="0.25">
      <c r="A4" s="51"/>
      <c r="B4" s="52"/>
      <c r="C4" s="52"/>
      <c r="E4" s="23" t="s">
        <v>34</v>
      </c>
      <c r="F4" s="248">
        <v>21.96</v>
      </c>
      <c r="G4" s="248">
        <v>20.207419354838709</v>
      </c>
      <c r="H4" s="336">
        <v>1550</v>
      </c>
      <c r="I4" s="49">
        <v>31321.5</v>
      </c>
      <c r="J4" s="376">
        <v>2716.5</v>
      </c>
      <c r="K4" s="362">
        <v>8.672956276040425E-2</v>
      </c>
      <c r="L4" s="376">
        <v>9937.6170000000857</v>
      </c>
      <c r="M4">
        <v>1200</v>
      </c>
      <c r="N4" s="373" t="str">
        <f>HYPERLINK("http://finance.yahoo.com/q?s=" &amp; E4, "Link")</f>
        <v>Link</v>
      </c>
      <c r="O4" s="372">
        <v>0</v>
      </c>
      <c r="P4" s="372">
        <v>1.15E-2</v>
      </c>
      <c r="Q4" s="152"/>
      <c r="R4" s="49"/>
    </row>
    <row r="5" spans="1:22" ht="21.95" customHeight="1" x14ac:dyDescent="0.25">
      <c r="A5" s="52"/>
      <c r="B5" s="159"/>
      <c r="C5" s="337"/>
      <c r="E5" s="23" t="s">
        <v>55</v>
      </c>
      <c r="F5" s="248">
        <v>71.010000000000005</v>
      </c>
      <c r="G5" s="248">
        <v>77.794166666666683</v>
      </c>
      <c r="H5" s="336">
        <v>300</v>
      </c>
      <c r="I5" s="49">
        <v>23338.250000000004</v>
      </c>
      <c r="J5" s="376">
        <v>-2035.25</v>
      </c>
      <c r="K5" s="362">
        <v>-8.7206624318447321E-2</v>
      </c>
      <c r="L5" s="376">
        <v>-2035.25</v>
      </c>
      <c r="M5">
        <v>150</v>
      </c>
      <c r="N5" s="373" t="str">
        <f>HYPERLINK("http://finance.yahoo.com/q?s=" &amp; E5, "Link")</f>
        <v>Link</v>
      </c>
      <c r="O5" s="372">
        <v>2.6100000000000002E-2</v>
      </c>
      <c r="P5" s="372">
        <v>-7.7999999999999996E-3</v>
      </c>
      <c r="R5" s="49"/>
    </row>
    <row r="6" spans="1:22" ht="21.95" customHeight="1" x14ac:dyDescent="0.25">
      <c r="A6" s="51"/>
      <c r="B6" s="51"/>
      <c r="C6" s="52"/>
      <c r="E6" s="23" t="s">
        <v>201</v>
      </c>
      <c r="F6" s="248">
        <v>34.090000000000003</v>
      </c>
      <c r="G6" s="248">
        <v>34.402500000000003</v>
      </c>
      <c r="H6" s="336">
        <v>400</v>
      </c>
      <c r="I6" s="49">
        <v>13761.000000000002</v>
      </c>
      <c r="J6" s="376">
        <v>-124.99999999999818</v>
      </c>
      <c r="K6" s="362">
        <v>-9.0836421771673566E-3</v>
      </c>
      <c r="L6" s="376">
        <v>1622.9699999999957</v>
      </c>
      <c r="M6">
        <v>200</v>
      </c>
      <c r="N6" s="373" t="str">
        <f>HYPERLINK("http://finance.yahoo.com/q?s=" &amp; E6, "Link")</f>
        <v>Link</v>
      </c>
      <c r="O6" s="372">
        <v>1.41E-2</v>
      </c>
      <c r="P6" s="372">
        <v>-5.0000000000000001E-3</v>
      </c>
      <c r="Q6" s="152"/>
    </row>
    <row r="7" spans="1:22" ht="21.95" customHeight="1" x14ac:dyDescent="0.25">
      <c r="A7" s="51"/>
      <c r="B7" s="51"/>
      <c r="C7" s="52"/>
      <c r="E7" s="23" t="s">
        <v>402</v>
      </c>
      <c r="F7" s="248">
        <v>20.13</v>
      </c>
      <c r="G7" s="248">
        <v>20.762583333333332</v>
      </c>
      <c r="H7" s="336">
        <v>600</v>
      </c>
      <c r="I7" s="49">
        <v>12457.55</v>
      </c>
      <c r="J7" s="376">
        <v>-379.54999999999927</v>
      </c>
      <c r="K7" s="362">
        <v>-3.0467467519696867E-2</v>
      </c>
      <c r="L7" s="376">
        <v>-34.569999999998799</v>
      </c>
      <c r="M7">
        <v>200</v>
      </c>
      <c r="N7" s="373" t="str">
        <f>HYPERLINK("http://finance.yahoo.com/q?s=" &amp; E7, "Link")</f>
        <v>Link</v>
      </c>
      <c r="O7" s="372">
        <v>0</v>
      </c>
      <c r="P7" s="372">
        <v>-6.4000000000000003E-3</v>
      </c>
      <c r="Q7" s="450"/>
      <c r="S7" s="49"/>
      <c r="T7" s="49"/>
    </row>
    <row r="8" spans="1:22" ht="21.95" customHeight="1" x14ac:dyDescent="0.25">
      <c r="A8" s="51"/>
      <c r="B8" s="51"/>
      <c r="C8" s="52"/>
      <c r="E8" s="23" t="s">
        <v>296</v>
      </c>
      <c r="F8" s="248">
        <v>81.56</v>
      </c>
      <c r="G8" s="248">
        <v>85.38</v>
      </c>
      <c r="H8" s="336">
        <v>80</v>
      </c>
      <c r="I8" s="49">
        <v>6830.4</v>
      </c>
      <c r="J8" s="376">
        <v>-305.59999999999945</v>
      </c>
      <c r="K8" s="362">
        <v>-4.4741157179667292E-2</v>
      </c>
      <c r="L8" s="376">
        <v>-305.59999999999945</v>
      </c>
      <c r="M8">
        <v>80</v>
      </c>
      <c r="N8" s="373" t="str">
        <f>HYPERLINK("http://finance.yahoo.com/q?s=" &amp; E8, "Link")</f>
        <v>Link</v>
      </c>
      <c r="O8" s="372">
        <v>2.3900000000000001E-2</v>
      </c>
      <c r="P8" s="372">
        <v>-1.38E-2</v>
      </c>
      <c r="Q8" s="152"/>
    </row>
    <row r="9" spans="1:22" ht="21.95" customHeight="1" x14ac:dyDescent="0.25">
      <c r="A9" s="51"/>
      <c r="B9" s="51"/>
      <c r="C9" s="52"/>
      <c r="E9" s="23" t="s">
        <v>176</v>
      </c>
      <c r="F9" s="248">
        <v>55.07</v>
      </c>
      <c r="G9" s="248">
        <v>54.586666666666666</v>
      </c>
      <c r="H9" s="336">
        <v>120</v>
      </c>
      <c r="I9" s="49">
        <v>6550.4</v>
      </c>
      <c r="J9" s="376">
        <v>58</v>
      </c>
      <c r="K9" s="362">
        <v>8.8544211040547313E-3</v>
      </c>
      <c r="L9" s="376">
        <v>886.28000000000611</v>
      </c>
      <c r="M9">
        <v>40</v>
      </c>
      <c r="N9" s="373" t="str">
        <f>HYPERLINK("http://finance.yahoo.com/q?s=" &amp; E9, "Link")</f>
        <v>Link</v>
      </c>
      <c r="O9" s="372">
        <v>2.8000000000000001E-2</v>
      </c>
      <c r="P9" s="372">
        <v>8.9999999999999993E-3</v>
      </c>
      <c r="Q9" s="49"/>
    </row>
    <row r="10" spans="1:22" ht="21.95" customHeight="1" x14ac:dyDescent="0.25">
      <c r="A10" s="51"/>
      <c r="B10" s="51"/>
      <c r="C10" s="52"/>
      <c r="E10" s="23" t="s">
        <v>324</v>
      </c>
      <c r="F10" s="248">
        <v>49.23</v>
      </c>
      <c r="G10" s="248">
        <v>51.438000000000002</v>
      </c>
      <c r="H10" s="336">
        <v>100</v>
      </c>
      <c r="I10" s="49">
        <v>5143.8</v>
      </c>
      <c r="J10" s="376">
        <v>-220.80000000000018</v>
      </c>
      <c r="K10" s="362">
        <v>-4.2925463664994855E-2</v>
      </c>
      <c r="L10" s="376">
        <v>126.14000000000033</v>
      </c>
      <c r="M10">
        <v>20</v>
      </c>
      <c r="N10" s="373" t="str">
        <f>HYPERLINK("http://finance.yahoo.com/q?s=" &amp; E10, "Link")</f>
        <v>Link</v>
      </c>
      <c r="O10" s="372">
        <v>2.7799999999999998E-2</v>
      </c>
      <c r="P10" s="372">
        <v>-0.1128</v>
      </c>
      <c r="Q10" s="152"/>
      <c r="S10" s="49"/>
      <c r="T10" s="49"/>
    </row>
    <row r="11" spans="1:22" ht="21.95" customHeight="1" x14ac:dyDescent="0.25">
      <c r="A11" s="51"/>
      <c r="B11" s="52"/>
      <c r="C11" s="52"/>
      <c r="E11" s="23" t="s">
        <v>9</v>
      </c>
      <c r="F11" s="248">
        <v>3.49</v>
      </c>
      <c r="G11" s="248">
        <v>3.4024599999999992</v>
      </c>
      <c r="H11" s="336">
        <v>1500</v>
      </c>
      <c r="I11" s="49">
        <v>5103.6899999999987</v>
      </c>
      <c r="J11" s="376">
        <v>131.31000000000131</v>
      </c>
      <c r="K11" s="362">
        <v>2.5728443537911126E-2</v>
      </c>
      <c r="L11" s="376">
        <v>566.2400000000016</v>
      </c>
      <c r="M11">
        <v>1100</v>
      </c>
      <c r="N11" s="373" t="str">
        <f>HYPERLINK("http://finance.yahoo.com/q?s=" &amp; E11, "Link")</f>
        <v>Link</v>
      </c>
      <c r="O11" s="372">
        <v>0.1203</v>
      </c>
      <c r="P11" s="372">
        <v>2.8999999999999998E-3</v>
      </c>
      <c r="R11" s="49"/>
      <c r="T11" s="49"/>
    </row>
    <row r="12" spans="1:22" ht="21.95" customHeight="1" x14ac:dyDescent="0.25">
      <c r="A12" s="52"/>
      <c r="B12" s="52"/>
      <c r="C12" s="52"/>
      <c r="E12" s="23" t="s">
        <v>220</v>
      </c>
      <c r="F12" s="248">
        <v>80.72</v>
      </c>
      <c r="G12" s="248">
        <v>80.658999999999992</v>
      </c>
      <c r="H12" s="336">
        <v>50</v>
      </c>
      <c r="I12" s="49">
        <v>4032.95</v>
      </c>
      <c r="J12" s="376">
        <v>3.0500000000001819</v>
      </c>
      <c r="K12" s="362">
        <v>7.5627022402964398E-4</v>
      </c>
      <c r="L12" s="376">
        <v>679.00000000000091</v>
      </c>
      <c r="M12" s="30">
        <v>42779</v>
      </c>
      <c r="N12" s="373" t="str">
        <f>HYPERLINK("http://finance.yahoo.com/q?s=" &amp; E12, "Link")</f>
        <v>Link</v>
      </c>
      <c r="O12" s="372">
        <v>1.29E-2</v>
      </c>
      <c r="P12" s="372">
        <v>-5.9999999999999995E-4</v>
      </c>
      <c r="Q12" s="49"/>
      <c r="T12" s="49"/>
    </row>
    <row r="13" spans="1:22" ht="21.95" customHeight="1" x14ac:dyDescent="0.25">
      <c r="A13" s="51"/>
      <c r="B13" s="51"/>
      <c r="C13" s="52"/>
      <c r="E13" s="23" t="s">
        <v>290</v>
      </c>
      <c r="F13" s="248">
        <v>114.15</v>
      </c>
      <c r="G13" s="248">
        <v>115.62666666666668</v>
      </c>
      <c r="H13" s="336">
        <v>30</v>
      </c>
      <c r="I13" s="49">
        <v>3468.8</v>
      </c>
      <c r="J13" s="376">
        <v>-44.300000000000182</v>
      </c>
      <c r="K13" s="362">
        <v>-1.2770987084870908E-2</v>
      </c>
      <c r="L13" s="376">
        <v>-44.300000000000182</v>
      </c>
      <c r="M13">
        <v>30</v>
      </c>
      <c r="N13" s="373" t="str">
        <f>HYPERLINK("http://finance.yahoo.com/q?s=" &amp; E13, "Link")</f>
        <v>Link</v>
      </c>
      <c r="O13" s="372">
        <v>2.8000000000000001E-2</v>
      </c>
      <c r="P13" s="372">
        <v>-4.0000000000000002E-4</v>
      </c>
      <c r="Q13" s="152"/>
    </row>
    <row r="14" spans="1:22" ht="21.95" customHeight="1" x14ac:dyDescent="0.25">
      <c r="A14" s="51"/>
      <c r="B14" s="51"/>
      <c r="C14" s="52"/>
      <c r="E14" s="23" t="s">
        <v>231</v>
      </c>
      <c r="F14" s="248">
        <v>34.200000000000003</v>
      </c>
      <c r="G14" s="248">
        <v>33.58</v>
      </c>
      <c r="H14" s="336">
        <v>100</v>
      </c>
      <c r="I14" s="49">
        <v>3358</v>
      </c>
      <c r="J14" s="376">
        <v>62.000000000000455</v>
      </c>
      <c r="K14" s="362">
        <v>1.8463371054199065E-2</v>
      </c>
      <c r="L14" s="376">
        <v>3372.4699999999962</v>
      </c>
      <c r="M14" s="30">
        <v>42786</v>
      </c>
      <c r="N14" s="373" t="str">
        <f>HYPERLINK("http://finance.yahoo.com/q?s=" &amp; E14, "Link")</f>
        <v>Link</v>
      </c>
      <c r="O14" s="372">
        <v>3.5099999999999999E-2</v>
      </c>
      <c r="P14" s="372">
        <v>6.0499999999999998E-2</v>
      </c>
      <c r="Q14" s="450"/>
      <c r="R14" s="49"/>
      <c r="V14" s="49"/>
    </row>
    <row r="15" spans="1:22" ht="21.95" customHeight="1" x14ac:dyDescent="0.25">
      <c r="A15" s="51"/>
      <c r="B15" s="51"/>
      <c r="C15" s="52"/>
      <c r="E15" s="23" t="s">
        <v>174</v>
      </c>
      <c r="F15" s="248">
        <v>62.42</v>
      </c>
      <c r="G15" s="248">
        <v>63.73</v>
      </c>
      <c r="H15" s="336">
        <v>50</v>
      </c>
      <c r="I15" s="439">
        <v>3186.5</v>
      </c>
      <c r="J15" s="376">
        <v>-65.5</v>
      </c>
      <c r="K15" s="362">
        <v>-2.0555468382237489E-2</v>
      </c>
      <c r="L15" s="376">
        <v>-15.550000000000182</v>
      </c>
      <c r="M15">
        <v>50</v>
      </c>
      <c r="N15" s="373" t="str">
        <f>HYPERLINK("http://finance.yahoo.com/q?s=" &amp; E15, "Link")</f>
        <v>Link</v>
      </c>
      <c r="O15" s="372">
        <v>3.0800000000000001E-2</v>
      </c>
      <c r="P15" s="372">
        <v>1.2500000000000001E-2</v>
      </c>
      <c r="Q15" s="450"/>
      <c r="R15" s="49"/>
      <c r="S15" s="49"/>
    </row>
    <row r="16" spans="1:22" ht="21.95" customHeight="1" x14ac:dyDescent="0.25">
      <c r="A16" s="51"/>
      <c r="B16" s="51"/>
      <c r="C16" s="52"/>
      <c r="E16" s="23" t="s">
        <v>0</v>
      </c>
      <c r="F16" s="248">
        <v>143.51</v>
      </c>
      <c r="G16" s="248">
        <v>139.72999999999999</v>
      </c>
      <c r="H16" s="50">
        <v>20</v>
      </c>
      <c r="I16" s="49">
        <v>2794.6</v>
      </c>
      <c r="J16" s="376">
        <v>75.599999999999909</v>
      </c>
      <c r="K16" s="362">
        <v>2.7052172046088896E-2</v>
      </c>
      <c r="L16" s="49">
        <v>247.06999999999994</v>
      </c>
      <c r="M16">
        <v>20</v>
      </c>
      <c r="N16" s="373" t="str">
        <f>HYPERLINK("http://finance.yahoo.com/q?s=" &amp; E16, "Link")</f>
        <v>Link</v>
      </c>
      <c r="O16" s="362">
        <v>4.1999999999999997E-3</v>
      </c>
      <c r="P16" s="362">
        <v>-5.5999999999999999E-3</v>
      </c>
      <c r="Q16" s="152"/>
      <c r="S16" s="49"/>
      <c r="T16" s="49"/>
    </row>
    <row r="17" spans="1:20" ht="21.95" customHeight="1" x14ac:dyDescent="0.25">
      <c r="A17" s="51"/>
      <c r="B17" s="51"/>
      <c r="C17" s="52"/>
      <c r="E17" s="23" t="s">
        <v>234</v>
      </c>
      <c r="F17" s="248">
        <v>31.28</v>
      </c>
      <c r="G17" s="248">
        <v>27.58</v>
      </c>
      <c r="H17" s="336">
        <v>100</v>
      </c>
      <c r="I17" s="49">
        <v>2758</v>
      </c>
      <c r="J17" s="376">
        <v>370</v>
      </c>
      <c r="K17" s="362">
        <v>0.13415518491660636</v>
      </c>
      <c r="L17" s="376">
        <v>1422.33</v>
      </c>
      <c r="M17">
        <v>100</v>
      </c>
      <c r="N17" s="373" t="str">
        <f>HYPERLINK("http://finance.yahoo.com/q?s=" &amp; E17, "Link")</f>
        <v>Link</v>
      </c>
      <c r="O17" s="372">
        <v>3.5900000000000001E-2</v>
      </c>
      <c r="P17" s="372">
        <v>3.4000000000000002E-2</v>
      </c>
      <c r="R17" s="49"/>
      <c r="T17" s="49"/>
    </row>
    <row r="18" spans="1:20" ht="21.95" customHeight="1" x14ac:dyDescent="0.25">
      <c r="A18" s="51"/>
      <c r="B18" s="51"/>
      <c r="C18" s="52"/>
      <c r="E18" s="23" t="s">
        <v>424</v>
      </c>
      <c r="F18" s="248">
        <v>33.229999999999997</v>
      </c>
      <c r="G18" s="248">
        <v>34.020000000000003</v>
      </c>
      <c r="H18" s="50">
        <v>80</v>
      </c>
      <c r="I18" s="49">
        <v>2721.6000000000004</v>
      </c>
      <c r="J18" s="376">
        <v>-63.200000000000728</v>
      </c>
      <c r="K18" s="362">
        <v>-2.3221634332745624E-2</v>
      </c>
      <c r="L18" s="49">
        <v>-63.200000000000728</v>
      </c>
      <c r="M18" s="30">
        <v>42779</v>
      </c>
      <c r="N18" s="373" t="str">
        <f>HYPERLINK("http://finance.yahoo.com/q?s=" &amp; E18, "Link")</f>
        <v>Link</v>
      </c>
      <c r="O18" s="362">
        <v>4.0899999999999999E-2</v>
      </c>
      <c r="P18" s="362">
        <v>-7.1999999999999998E-3</v>
      </c>
      <c r="R18" s="49"/>
    </row>
    <row r="19" spans="1:20" ht="21.95" customHeight="1" x14ac:dyDescent="0.25">
      <c r="A19" s="51"/>
      <c r="B19" s="51"/>
      <c r="C19" s="52"/>
      <c r="E19" s="23" t="s">
        <v>465</v>
      </c>
      <c r="F19" s="248">
        <v>64.099999999999994</v>
      </c>
      <c r="G19" s="248">
        <v>64.680000000000007</v>
      </c>
      <c r="H19" s="336">
        <v>30</v>
      </c>
      <c r="I19" s="49">
        <v>1940.4</v>
      </c>
      <c r="J19" s="376">
        <v>-17.400000000000318</v>
      </c>
      <c r="K19" s="362">
        <v>-8.9672232529377314E-3</v>
      </c>
      <c r="L19" s="376">
        <v>-17.400000000000318</v>
      </c>
      <c r="M19" s="30">
        <v>42786</v>
      </c>
      <c r="N19" s="373" t="str">
        <f>HYPERLINK("http://finance.yahoo.com/q?s=" &amp; E19, "Link")</f>
        <v>Link</v>
      </c>
      <c r="O19" s="372">
        <v>3.5900000000000001E-2</v>
      </c>
      <c r="P19" s="372">
        <v>-1.9699999999999999E-2</v>
      </c>
      <c r="S19" s="49"/>
    </row>
    <row r="20" spans="1:20" ht="21.95" customHeight="1" x14ac:dyDescent="0.25">
      <c r="A20" s="51"/>
      <c r="B20" s="51"/>
      <c r="C20" s="52"/>
      <c r="E20" s="23" t="s">
        <v>52</v>
      </c>
      <c r="F20" s="248">
        <v>75.03</v>
      </c>
      <c r="G20" s="248">
        <v>71.73</v>
      </c>
      <c r="H20" s="50">
        <v>25</v>
      </c>
      <c r="I20" s="49">
        <v>1793.25</v>
      </c>
      <c r="J20" s="376">
        <v>82.5</v>
      </c>
      <c r="K20" s="362">
        <v>4.6005855290673317E-2</v>
      </c>
      <c r="L20" s="49">
        <v>743.06999999999971</v>
      </c>
      <c r="M20" s="30">
        <v>42765</v>
      </c>
      <c r="N20" s="373" t="str">
        <f>HYPERLINK("http://finance.yahoo.com/q?s=" &amp; E20, "Link")</f>
        <v>Link</v>
      </c>
      <c r="O20" s="362">
        <v>2.3900000000000001E-2</v>
      </c>
      <c r="P20" s="362">
        <v>-6.8999999999999999E-3</v>
      </c>
    </row>
    <row r="21" spans="1:20" ht="21.95" customHeight="1" x14ac:dyDescent="0.25">
      <c r="A21" s="52"/>
      <c r="B21" s="52"/>
      <c r="C21" s="52"/>
      <c r="E21" s="23" t="s">
        <v>369</v>
      </c>
      <c r="F21" s="248">
        <v>34.03</v>
      </c>
      <c r="G21" s="248">
        <v>31.18</v>
      </c>
      <c r="H21" s="336">
        <v>50</v>
      </c>
      <c r="I21" s="49">
        <v>1559</v>
      </c>
      <c r="J21" s="376">
        <v>142.5</v>
      </c>
      <c r="K21" s="362">
        <v>9.1404746632456749E-2</v>
      </c>
      <c r="L21" s="376">
        <v>247.18000000000006</v>
      </c>
      <c r="M21">
        <v>50</v>
      </c>
      <c r="N21" s="373" t="str">
        <f>HYPERLINK("http://finance.yahoo.com/q?s=" &amp; E21, "Link")</f>
        <v>Link</v>
      </c>
      <c r="O21" s="372">
        <v>3.4200000000000001E-2</v>
      </c>
      <c r="P21" s="372">
        <v>5.0000000000000001E-3</v>
      </c>
      <c r="S21" s="49"/>
    </row>
    <row r="22" spans="1:20" ht="21.95" customHeight="1" x14ac:dyDescent="0.25">
      <c r="A22" s="51"/>
      <c r="B22" s="52"/>
      <c r="C22" s="52"/>
      <c r="E22" s="23" t="s">
        <v>200</v>
      </c>
      <c r="F22" s="248">
        <v>53.2</v>
      </c>
      <c r="G22" s="248">
        <v>52.679999999999993</v>
      </c>
      <c r="H22" s="50">
        <v>20</v>
      </c>
      <c r="I22" s="49">
        <v>1053.5999999999999</v>
      </c>
      <c r="J22" s="376">
        <v>10.400000000000091</v>
      </c>
      <c r="K22" s="362">
        <v>9.8709187547458294E-3</v>
      </c>
      <c r="L22" s="49">
        <v>364.62000000000126</v>
      </c>
      <c r="M22">
        <v>20</v>
      </c>
      <c r="N22" s="373" t="str">
        <f>HYPERLINK("http://finance.yahoo.com/q?s=" &amp; E22, "Link")</f>
        <v>Link</v>
      </c>
      <c r="O22" s="362">
        <v>1.35E-2</v>
      </c>
      <c r="P22" s="362">
        <v>5.1000000000000004E-3</v>
      </c>
      <c r="Q22" s="152"/>
    </row>
    <row r="23" spans="1:20" ht="21.95" customHeight="1" x14ac:dyDescent="0.25">
      <c r="A23" s="51"/>
      <c r="B23" s="51"/>
      <c r="C23" s="52"/>
      <c r="E23" s="23" t="s">
        <v>62</v>
      </c>
      <c r="F23" s="248">
        <v>280.66000000000003</v>
      </c>
      <c r="G23" s="248">
        <v>280.66000000000003</v>
      </c>
      <c r="H23" s="336">
        <v>0</v>
      </c>
      <c r="I23" s="49">
        <v>0</v>
      </c>
      <c r="J23" s="376">
        <v>0</v>
      </c>
      <c r="K23" s="362">
        <v>0</v>
      </c>
      <c r="L23" s="376">
        <v>1659.3600000000079</v>
      </c>
      <c r="M23">
        <v>0</v>
      </c>
      <c r="N23" s="373" t="str">
        <f>HYPERLINK("http://finance.yahoo.com/q?s=" &amp; E23, "Link")</f>
        <v>Link</v>
      </c>
      <c r="O23" s="372">
        <v>0</v>
      </c>
      <c r="P23" s="372">
        <v>1.1000000000000001E-3</v>
      </c>
      <c r="Q23" s="152"/>
      <c r="T23" s="49"/>
    </row>
    <row r="24" spans="1:20" ht="21.95" customHeight="1" x14ac:dyDescent="0.25">
      <c r="A24" s="51"/>
      <c r="B24" s="51"/>
      <c r="C24" s="52"/>
      <c r="E24" s="23" t="s">
        <v>178</v>
      </c>
      <c r="F24" s="248">
        <v>226.74</v>
      </c>
      <c r="G24" s="248">
        <v>226.74</v>
      </c>
      <c r="H24" s="336">
        <v>0</v>
      </c>
      <c r="I24" s="49">
        <v>0</v>
      </c>
      <c r="J24" s="376">
        <v>0</v>
      </c>
      <c r="K24" s="362">
        <v>0</v>
      </c>
      <c r="L24" s="376">
        <v>160.82999999999993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3.7000000000000002E-3</v>
      </c>
    </row>
    <row r="25" spans="1:20" ht="21.95" customHeight="1" x14ac:dyDescent="0.25">
      <c r="A25" s="51"/>
      <c r="B25" s="51"/>
      <c r="C25" s="51"/>
      <c r="E25" s="23" t="s">
        <v>33</v>
      </c>
      <c r="F25" s="248">
        <v>191.08</v>
      </c>
      <c r="G25" s="248">
        <v>191.08</v>
      </c>
      <c r="H25" s="336">
        <v>0</v>
      </c>
      <c r="I25" s="49">
        <v>0</v>
      </c>
      <c r="J25" s="376">
        <v>0</v>
      </c>
      <c r="K25" s="362">
        <v>0</v>
      </c>
      <c r="L25" s="376">
        <v>780.73999999999796</v>
      </c>
      <c r="M25">
        <v>0</v>
      </c>
      <c r="N25" s="373" t="str">
        <f>HYPERLINK("http://finance.yahoo.com/q?s=" &amp; E25, "Link")</f>
        <v>Link</v>
      </c>
      <c r="O25" s="372">
        <v>2.1399999999999999E-2</v>
      </c>
      <c r="P25" s="372">
        <v>2.9700000000000001E-2</v>
      </c>
    </row>
    <row r="26" spans="1:20" ht="21.95" customHeight="1" x14ac:dyDescent="0.25">
      <c r="A26" s="61"/>
      <c r="B26" s="62"/>
      <c r="C26" s="61"/>
      <c r="E26" s="23" t="s">
        <v>51</v>
      </c>
      <c r="F26" s="248">
        <v>158.66</v>
      </c>
      <c r="G26" s="248">
        <v>158.66</v>
      </c>
      <c r="H26" s="336">
        <v>0</v>
      </c>
      <c r="I26" s="49">
        <v>0</v>
      </c>
      <c r="J26" s="376">
        <v>0</v>
      </c>
      <c r="K26" s="362">
        <v>0</v>
      </c>
      <c r="L26" s="376">
        <v>176.70000000000073</v>
      </c>
      <c r="M26">
        <v>0</v>
      </c>
      <c r="N26" s="373" t="str">
        <f>HYPERLINK("http://finance.yahoo.com/q?s=" &amp; E26, "Link")</f>
        <v>Link</v>
      </c>
      <c r="O26" s="372">
        <v>1.5800000000000002E-2</v>
      </c>
      <c r="P26" s="372">
        <v>-2.9999999999999997E-4</v>
      </c>
      <c r="R26" s="49"/>
    </row>
    <row r="27" spans="1:20" ht="21.95" customHeight="1" x14ac:dyDescent="0.25">
      <c r="A27" s="52"/>
      <c r="B27" s="51"/>
      <c r="C27" s="52"/>
      <c r="E27" s="23" t="s">
        <v>208</v>
      </c>
      <c r="F27" s="248">
        <v>120</v>
      </c>
      <c r="G27" s="248">
        <v>120</v>
      </c>
      <c r="H27" s="336">
        <v>0</v>
      </c>
      <c r="I27" s="49">
        <v>0</v>
      </c>
      <c r="J27" s="376">
        <v>0</v>
      </c>
      <c r="K27" s="362">
        <v>0</v>
      </c>
      <c r="L27" s="376">
        <v>363.09999999999945</v>
      </c>
      <c r="M27">
        <v>0</v>
      </c>
      <c r="N27" s="373" t="str">
        <f>HYPERLINK("http://finance.yahoo.com/q?s=" &amp; E27, "Link")</f>
        <v>Link</v>
      </c>
      <c r="O27" s="372">
        <v>1.9E-2</v>
      </c>
      <c r="P27" s="372">
        <v>1.8E-3</v>
      </c>
      <c r="Q27" s="450"/>
      <c r="R27" s="49"/>
      <c r="S27" s="49"/>
    </row>
    <row r="28" spans="1:20" ht="21.95" customHeight="1" x14ac:dyDescent="0.25">
      <c r="A28" s="51"/>
      <c r="B28" s="51"/>
      <c r="C28" s="52"/>
      <c r="E28" s="23" t="s">
        <v>47</v>
      </c>
      <c r="F28" s="248">
        <v>113.59</v>
      </c>
      <c r="G28" s="248">
        <v>113.59</v>
      </c>
      <c r="H28" s="336">
        <v>0</v>
      </c>
      <c r="I28" s="49">
        <v>0</v>
      </c>
      <c r="J28" s="376">
        <v>0</v>
      </c>
      <c r="K28" s="362">
        <v>0</v>
      </c>
      <c r="L28" s="376">
        <v>-168.6200000000008</v>
      </c>
      <c r="M28">
        <v>0</v>
      </c>
      <c r="N28" s="373" t="str">
        <f>HYPERLINK("http://finance.yahoo.com/q?s=" &amp; E28, "Link")</f>
        <v>Link</v>
      </c>
      <c r="O28" s="372">
        <v>2.0799999999999999E-2</v>
      </c>
      <c r="P28" s="372">
        <v>-7.3000000000000001E-3</v>
      </c>
      <c r="R28" s="49"/>
      <c r="S28" s="49"/>
    </row>
    <row r="29" spans="1:20" ht="21.95" customHeight="1" x14ac:dyDescent="0.25">
      <c r="A29" s="51"/>
      <c r="B29" s="51"/>
      <c r="C29" s="51"/>
      <c r="E29" s="23" t="s">
        <v>54</v>
      </c>
      <c r="F29" s="248">
        <v>110.79</v>
      </c>
      <c r="G29" s="248">
        <v>110.79</v>
      </c>
      <c r="H29" s="50">
        <v>0</v>
      </c>
      <c r="I29" s="49">
        <v>0</v>
      </c>
      <c r="J29" s="376">
        <v>0</v>
      </c>
      <c r="K29" s="362">
        <v>0</v>
      </c>
      <c r="L29" s="49">
        <v>114.84999999999991</v>
      </c>
      <c r="M29">
        <v>0</v>
      </c>
      <c r="N29" s="373" t="str">
        <f>HYPERLINK("http://finance.yahoo.com/q?s=" &amp; E29, "Link")</f>
        <v>Link</v>
      </c>
      <c r="O29" s="362">
        <v>2.3800000000000002E-2</v>
      </c>
      <c r="P29" s="362">
        <v>5.0000000000000001E-4</v>
      </c>
      <c r="S29" s="49"/>
    </row>
    <row r="30" spans="1:20" ht="21.95" customHeight="1" x14ac:dyDescent="0.25">
      <c r="A30" s="52"/>
      <c r="B30" s="52"/>
      <c r="C30" s="52"/>
      <c r="E30" s="23" t="s">
        <v>42</v>
      </c>
      <c r="F30" s="248">
        <v>108.6</v>
      </c>
      <c r="G30" s="248">
        <v>108.6</v>
      </c>
      <c r="H30" s="336">
        <v>0</v>
      </c>
      <c r="I30" s="49">
        <v>0</v>
      </c>
      <c r="J30" s="376">
        <v>0</v>
      </c>
      <c r="K30" s="362">
        <v>0</v>
      </c>
      <c r="L30" s="376">
        <v>128.08999999999833</v>
      </c>
      <c r="M30">
        <v>0</v>
      </c>
      <c r="N30" s="373" t="str">
        <f>HYPERLINK("http://finance.yahoo.com/q?s=" &amp; E30, "Link")</f>
        <v>Link</v>
      </c>
      <c r="O30" s="372">
        <v>2.0799999999999999E-2</v>
      </c>
      <c r="P30" s="372">
        <v>2.2200000000000001E-2</v>
      </c>
      <c r="Q30" s="49"/>
      <c r="S30" s="49"/>
    </row>
    <row r="31" spans="1:20" ht="21.95" customHeight="1" x14ac:dyDescent="0.25">
      <c r="A31" s="159"/>
      <c r="B31" s="51"/>
      <c r="C31" s="52"/>
      <c r="E31" s="23" t="s">
        <v>63</v>
      </c>
      <c r="F31" s="248">
        <v>107.66</v>
      </c>
      <c r="G31" s="248">
        <v>107.66</v>
      </c>
      <c r="H31" s="336">
        <v>0</v>
      </c>
      <c r="I31" s="49">
        <v>0</v>
      </c>
      <c r="J31" s="376">
        <v>0</v>
      </c>
      <c r="K31" s="362">
        <v>0</v>
      </c>
      <c r="L31" s="376">
        <v>257.30999999999949</v>
      </c>
      <c r="M31">
        <v>0</v>
      </c>
      <c r="N31" s="373" t="str">
        <f>HYPERLINK("http://finance.yahoo.com/q?s=" &amp; E31, "Link")</f>
        <v>Link</v>
      </c>
      <c r="O31" s="372">
        <v>1.4500000000000001E-2</v>
      </c>
      <c r="P31" s="372">
        <v>3.5000000000000001E-3</v>
      </c>
      <c r="R31" s="49"/>
      <c r="S31" s="49"/>
    </row>
    <row r="32" spans="1:20" ht="21.95" customHeight="1" x14ac:dyDescent="0.25">
      <c r="A32" s="61"/>
      <c r="B32" s="62"/>
      <c r="C32" s="61"/>
      <c r="E32" s="23" t="s">
        <v>349</v>
      </c>
      <c r="F32" s="248">
        <v>95.51</v>
      </c>
      <c r="G32" s="248">
        <v>95.51</v>
      </c>
      <c r="H32" s="336">
        <v>0</v>
      </c>
      <c r="I32" s="49">
        <v>0</v>
      </c>
      <c r="J32" s="376">
        <v>0</v>
      </c>
      <c r="K32" s="362">
        <v>0</v>
      </c>
      <c r="L32" s="376">
        <v>537.92000000000007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-8.0999999999999996E-3</v>
      </c>
      <c r="Q32" s="152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173</v>
      </c>
      <c r="F33" s="248">
        <v>88.67</v>
      </c>
      <c r="G33" s="248">
        <v>88.67</v>
      </c>
      <c r="H33" s="336">
        <v>0</v>
      </c>
      <c r="I33" s="49">
        <v>0</v>
      </c>
      <c r="J33" s="376">
        <v>0</v>
      </c>
      <c r="K33" s="362">
        <v>0</v>
      </c>
      <c r="L33" s="376">
        <v>1368.8999999999978</v>
      </c>
      <c r="M33">
        <v>0</v>
      </c>
      <c r="N33" s="373" t="str">
        <f>HYPERLINK("http://finance.yahoo.com/q?s=" &amp; E33, "Link")</f>
        <v>Link</v>
      </c>
      <c r="O33" s="372">
        <v>1.26E-2</v>
      </c>
      <c r="P33" s="372">
        <v>0.13009999999999999</v>
      </c>
    </row>
    <row r="34" spans="1:22" ht="21.95" customHeight="1" x14ac:dyDescent="0.25">
      <c r="A34" s="51"/>
      <c r="B34" s="51"/>
      <c r="C34" s="52"/>
      <c r="E34" s="23" t="s">
        <v>233</v>
      </c>
      <c r="F34" s="248">
        <v>76.2</v>
      </c>
      <c r="G34" s="248">
        <v>76.2</v>
      </c>
      <c r="H34" s="50">
        <v>0</v>
      </c>
      <c r="I34" s="49">
        <v>0</v>
      </c>
      <c r="J34" s="376">
        <v>0</v>
      </c>
      <c r="K34" s="362">
        <v>0</v>
      </c>
      <c r="L34" s="49">
        <v>231.53999999999996</v>
      </c>
      <c r="M34">
        <v>0</v>
      </c>
      <c r="N34" s="373" t="str">
        <f>HYPERLINK("http://finance.yahoo.com/q?s=" &amp; E34, "Link")</f>
        <v>Link</v>
      </c>
      <c r="O34" s="362">
        <v>1.6799999999999999E-2</v>
      </c>
      <c r="P34" s="362">
        <v>-6.4000000000000003E-3</v>
      </c>
      <c r="Q34" s="49"/>
      <c r="R34" s="49"/>
      <c r="S34" s="49"/>
      <c r="T34" s="360"/>
      <c r="U34" s="360"/>
    </row>
    <row r="35" spans="1:22" ht="21.95" customHeight="1" x14ac:dyDescent="0.25">
      <c r="A35" s="51"/>
      <c r="B35" s="51"/>
      <c r="C35" s="52"/>
      <c r="E35" s="23" t="s">
        <v>13</v>
      </c>
      <c r="F35" s="248">
        <v>75.239999999999995</v>
      </c>
      <c r="G35" s="248">
        <v>75.239999999999995</v>
      </c>
      <c r="H35" s="336">
        <v>0</v>
      </c>
      <c r="I35" s="49">
        <v>0</v>
      </c>
      <c r="J35" s="376">
        <v>0</v>
      </c>
      <c r="K35" s="362">
        <v>0</v>
      </c>
      <c r="L35" s="376">
        <v>1461.5600000000013</v>
      </c>
      <c r="M35">
        <v>0</v>
      </c>
      <c r="N35" s="373" t="str">
        <f>HYPERLINK("http://finance.yahoo.com/q?s=" &amp; E35, "Link")</f>
        <v>Link</v>
      </c>
      <c r="O35" s="372">
        <v>0</v>
      </c>
      <c r="P35" s="372">
        <v>1.6500000000000001E-2</v>
      </c>
      <c r="Q35" s="152"/>
      <c r="R35" s="49"/>
      <c r="S35" s="49"/>
    </row>
    <row r="36" spans="1:22" ht="21.95" customHeight="1" x14ac:dyDescent="0.25">
      <c r="A36" s="51"/>
      <c r="B36" s="51"/>
      <c r="C36" s="52"/>
      <c r="E36" s="23" t="s">
        <v>45</v>
      </c>
      <c r="F36" s="248">
        <v>74.540000000000006</v>
      </c>
      <c r="G36" s="248">
        <v>74.540000000000006</v>
      </c>
      <c r="H36" s="336">
        <v>0</v>
      </c>
      <c r="I36" s="49">
        <v>0</v>
      </c>
      <c r="J36" s="376">
        <v>0</v>
      </c>
      <c r="K36" s="362">
        <v>0</v>
      </c>
      <c r="L36" s="376">
        <v>523.61999999999898</v>
      </c>
      <c r="M36">
        <v>0</v>
      </c>
      <c r="N36" s="373" t="str">
        <f>HYPERLINK("http://finance.yahoo.com/q?s=" &amp; E36, "Link")</f>
        <v>Link</v>
      </c>
      <c r="O36" s="372">
        <v>1.77E-2</v>
      </c>
      <c r="P36" s="372">
        <v>4.3E-3</v>
      </c>
    </row>
    <row r="37" spans="1:22" ht="21.95" customHeight="1" x14ac:dyDescent="0.25">
      <c r="A37" s="51"/>
      <c r="B37" s="51"/>
      <c r="C37" s="52"/>
      <c r="E37" s="23" t="s">
        <v>286</v>
      </c>
      <c r="F37" s="248">
        <v>71</v>
      </c>
      <c r="G37" s="248">
        <v>71</v>
      </c>
      <c r="H37" s="336">
        <v>0</v>
      </c>
      <c r="I37" s="49">
        <v>0</v>
      </c>
      <c r="J37" s="376">
        <v>0</v>
      </c>
      <c r="K37" s="362">
        <v>0</v>
      </c>
      <c r="L37" s="376">
        <v>158.29999999999927</v>
      </c>
      <c r="M37">
        <v>0</v>
      </c>
      <c r="N37" s="373" t="str">
        <f>HYPERLINK("http://finance.yahoo.com/q?s=" &amp; E37, "Link")</f>
        <v>Link</v>
      </c>
      <c r="O37" s="372">
        <v>1.41E-2</v>
      </c>
      <c r="P37" s="372">
        <v>-1E-4</v>
      </c>
    </row>
    <row r="38" spans="1:22" ht="21.95" customHeight="1" x14ac:dyDescent="0.25">
      <c r="A38" s="52"/>
      <c r="B38" s="159"/>
      <c r="C38" s="337"/>
      <c r="E38" s="23" t="s">
        <v>8</v>
      </c>
      <c r="F38" s="248">
        <v>70.12</v>
      </c>
      <c r="G38" s="248">
        <v>70.12</v>
      </c>
      <c r="H38" s="336">
        <v>0</v>
      </c>
      <c r="I38" s="49">
        <v>0</v>
      </c>
      <c r="J38" s="376">
        <v>0</v>
      </c>
      <c r="K38" s="362">
        <v>0</v>
      </c>
      <c r="L38" s="376">
        <v>121.94999999999982</v>
      </c>
      <c r="M38">
        <v>0</v>
      </c>
      <c r="N38" s="373" t="str">
        <f>HYPERLINK("http://finance.yahoo.com/q?s=" &amp; E38, "Link")</f>
        <v>Link</v>
      </c>
      <c r="O38" s="372">
        <v>1.67E-2</v>
      </c>
      <c r="P38" s="372">
        <v>1.89E-2</v>
      </c>
      <c r="Q38" s="152"/>
      <c r="R38" s="49"/>
      <c r="S38" s="49"/>
    </row>
    <row r="39" spans="1:22" ht="21.95" customHeight="1" x14ac:dyDescent="0.25">
      <c r="A39" s="52"/>
      <c r="B39" s="52"/>
      <c r="C39" s="52"/>
      <c r="E39" s="23" t="s">
        <v>263</v>
      </c>
      <c r="F39" s="248">
        <v>69.150000000000006</v>
      </c>
      <c r="G39" s="248">
        <v>69.150000000000006</v>
      </c>
      <c r="H39" s="50">
        <v>0</v>
      </c>
      <c r="I39" s="49">
        <v>0</v>
      </c>
      <c r="J39" s="376">
        <v>0</v>
      </c>
      <c r="K39" s="362">
        <v>0</v>
      </c>
      <c r="L39" s="49">
        <v>92.650000000000091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2.5000000000000001E-3</v>
      </c>
      <c r="Q39" s="49"/>
      <c r="R39" s="49"/>
      <c r="T39" s="49"/>
      <c r="V39" s="49"/>
    </row>
    <row r="40" spans="1:22" ht="21.95" customHeight="1" x14ac:dyDescent="0.25">
      <c r="A40" s="52"/>
      <c r="B40" s="52"/>
      <c r="C40" s="52"/>
      <c r="E40" s="23" t="s">
        <v>53</v>
      </c>
      <c r="F40" s="248">
        <v>67.599999999999994</v>
      </c>
      <c r="G40" s="248">
        <v>67.599999999999994</v>
      </c>
      <c r="H40" s="336">
        <v>0</v>
      </c>
      <c r="I40" s="49">
        <v>0</v>
      </c>
      <c r="J40" s="376">
        <v>0</v>
      </c>
      <c r="K40" s="362">
        <v>0</v>
      </c>
      <c r="L40" s="376">
        <v>33.940000000000055</v>
      </c>
      <c r="M40">
        <v>0</v>
      </c>
      <c r="N40" s="373" t="str">
        <f>HYPERLINK("http://finance.yahoo.com/q?s=" &amp; E40, "Link")</f>
        <v>Link</v>
      </c>
      <c r="O40" s="372">
        <v>6.4000000000000003E-3</v>
      </c>
      <c r="P40" s="372">
        <v>2.0999999999999999E-3</v>
      </c>
      <c r="T40" s="49"/>
    </row>
    <row r="41" spans="1:22" ht="21.95" customHeight="1" x14ac:dyDescent="0.25">
      <c r="A41" s="51"/>
      <c r="B41" s="51"/>
      <c r="C41" s="52"/>
      <c r="E41" s="23" t="s">
        <v>22</v>
      </c>
      <c r="F41" s="248">
        <v>57.98</v>
      </c>
      <c r="G41" s="248">
        <v>57.98</v>
      </c>
      <c r="H41" s="50">
        <v>0</v>
      </c>
      <c r="I41" s="49">
        <v>0</v>
      </c>
      <c r="J41" s="376">
        <v>0</v>
      </c>
      <c r="K41" s="362">
        <v>0</v>
      </c>
      <c r="L41" s="49">
        <v>3178.8000000000466</v>
      </c>
      <c r="M41">
        <v>0</v>
      </c>
      <c r="N41" s="373" t="str">
        <f>HYPERLINK("http://finance.yahoo.com/q?s=" &amp; E41, "Link")</f>
        <v>Link</v>
      </c>
      <c r="O41" s="362">
        <v>1.7000000000000001E-2</v>
      </c>
      <c r="P41" s="362">
        <v>4.4999999999999997E-3</v>
      </c>
      <c r="Q41" s="152"/>
      <c r="S41" s="49"/>
    </row>
    <row r="42" spans="1:22" ht="21.95" customHeight="1" x14ac:dyDescent="0.25">
      <c r="A42" s="51"/>
      <c r="B42" s="51"/>
      <c r="C42" s="52"/>
      <c r="E42" s="23" t="s">
        <v>175</v>
      </c>
      <c r="F42" s="248">
        <v>53.69</v>
      </c>
      <c r="G42" s="248">
        <v>53.69</v>
      </c>
      <c r="H42" s="336">
        <v>0</v>
      </c>
      <c r="I42" s="49">
        <v>0</v>
      </c>
      <c r="J42" s="376">
        <v>0</v>
      </c>
      <c r="K42" s="362">
        <v>0</v>
      </c>
      <c r="L42" s="376">
        <v>119.92000000000053</v>
      </c>
      <c r="M42">
        <v>0</v>
      </c>
      <c r="N42" s="373" t="str">
        <f>HYPERLINK("http://finance.yahoo.com/q?s=" &amp; E42, "Link")</f>
        <v>Link</v>
      </c>
      <c r="O42" s="372">
        <v>3.4500000000000003E-2</v>
      </c>
      <c r="P42" s="372">
        <v>1.9199999999999998E-2</v>
      </c>
      <c r="Q42" s="450"/>
      <c r="R42" s="49"/>
      <c r="T42" s="49"/>
    </row>
    <row r="43" spans="1:22" ht="21.95" customHeight="1" x14ac:dyDescent="0.25">
      <c r="A43" s="51"/>
      <c r="B43" s="51"/>
      <c r="C43" s="52"/>
      <c r="E43" s="23" t="s">
        <v>36</v>
      </c>
      <c r="F43" s="248">
        <v>51.09</v>
      </c>
      <c r="G43" s="248">
        <v>51.09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7.7999999999999996E-3</v>
      </c>
      <c r="P43" s="372">
        <v>2.0400000000000001E-2</v>
      </c>
      <c r="Q43" s="49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32</v>
      </c>
      <c r="F44" s="248">
        <v>50.5</v>
      </c>
      <c r="G44" s="248">
        <v>50.5</v>
      </c>
      <c r="H44" s="336">
        <v>0</v>
      </c>
      <c r="I44" s="49">
        <v>0</v>
      </c>
      <c r="J44" s="376">
        <v>0</v>
      </c>
      <c r="K44" s="362">
        <v>0</v>
      </c>
      <c r="L44" s="376">
        <v>1198.4699999999971</v>
      </c>
      <c r="M44">
        <v>0</v>
      </c>
      <c r="N44" s="373" t="str">
        <f>HYPERLINK("http://finance.yahoo.com/q?s=" &amp; E44, "Link")</f>
        <v>Link</v>
      </c>
      <c r="O44" s="372">
        <v>1.6E-2</v>
      </c>
      <c r="P44" s="372">
        <v>1.61E-2</v>
      </c>
      <c r="R44" s="49"/>
      <c r="S44" s="49"/>
    </row>
    <row r="45" spans="1:22" ht="21.95" customHeight="1" x14ac:dyDescent="0.25">
      <c r="A45" s="51"/>
      <c r="B45" s="51"/>
      <c r="C45" s="52"/>
      <c r="E45" s="23" t="s">
        <v>232</v>
      </c>
      <c r="F45" s="248">
        <v>49</v>
      </c>
      <c r="G45" s="248">
        <v>49</v>
      </c>
      <c r="H45" s="50">
        <v>0</v>
      </c>
      <c r="I45" s="49">
        <v>0</v>
      </c>
      <c r="J45" s="376">
        <v>0</v>
      </c>
      <c r="K45" s="362">
        <v>0</v>
      </c>
      <c r="L45" s="49">
        <v>257.64999999999964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5.4999999999999997E-3</v>
      </c>
      <c r="Q45" s="152"/>
    </row>
    <row r="46" spans="1:22" ht="21.95" customHeight="1" x14ac:dyDescent="0.25">
      <c r="A46" s="52"/>
      <c r="B46" s="52"/>
      <c r="C46" s="52"/>
      <c r="E46" s="23" t="s">
        <v>177</v>
      </c>
      <c r="F46" s="248">
        <v>46.08</v>
      </c>
      <c r="G46" s="248">
        <v>46.08</v>
      </c>
      <c r="H46" s="336">
        <v>0</v>
      </c>
      <c r="I46" s="49">
        <v>0</v>
      </c>
      <c r="J46" s="376">
        <v>0</v>
      </c>
      <c r="K46" s="362">
        <v>0</v>
      </c>
      <c r="L46" s="376">
        <v>75.019999999999982</v>
      </c>
      <c r="M46">
        <v>0</v>
      </c>
      <c r="N46" s="373" t="str">
        <f>HYPERLINK("http://finance.yahoo.com/q?s=" &amp; E46, "Link")</f>
        <v>Link</v>
      </c>
      <c r="O46" s="372">
        <v>1.6500000000000001E-2</v>
      </c>
      <c r="P46" s="372">
        <v>2.3999999999999998E-3</v>
      </c>
      <c r="Q46" s="152"/>
      <c r="R46" s="49"/>
      <c r="S46" s="49"/>
    </row>
    <row r="47" spans="1:22" ht="21.95" customHeight="1" x14ac:dyDescent="0.25">
      <c r="A47" s="51"/>
      <c r="B47" s="51"/>
      <c r="C47" s="52"/>
      <c r="E47" s="23" t="s">
        <v>288</v>
      </c>
      <c r="F47" s="248">
        <v>45.63</v>
      </c>
      <c r="G47" s="248">
        <v>45.63</v>
      </c>
      <c r="H47" s="336">
        <v>0</v>
      </c>
      <c r="I47" s="49">
        <v>0</v>
      </c>
      <c r="J47" s="376">
        <v>0</v>
      </c>
      <c r="K47" s="362">
        <v>0</v>
      </c>
      <c r="L47" s="376">
        <v>427.92000000000007</v>
      </c>
      <c r="M47">
        <v>0</v>
      </c>
      <c r="N47" s="373" t="str">
        <f>HYPERLINK("http://finance.yahoo.com/q?s=" &amp; E47, "Link")</f>
        <v>Link</v>
      </c>
      <c r="O47" s="372">
        <v>0</v>
      </c>
      <c r="P47" s="372">
        <v>2.0000000000000001E-4</v>
      </c>
      <c r="R47" s="49"/>
      <c r="S47" s="49"/>
      <c r="T47" s="49"/>
    </row>
    <row r="48" spans="1:22" ht="21.95" customHeight="1" x14ac:dyDescent="0.25">
      <c r="A48" s="52"/>
      <c r="B48" s="52"/>
      <c r="C48" s="52"/>
      <c r="E48" s="23" t="s">
        <v>39</v>
      </c>
      <c r="F48" s="248">
        <v>42.95</v>
      </c>
      <c r="G48" s="248">
        <v>42.95</v>
      </c>
      <c r="H48" s="50">
        <v>0</v>
      </c>
      <c r="I48" s="49">
        <v>0</v>
      </c>
      <c r="J48" s="376">
        <v>0</v>
      </c>
      <c r="K48" s="362">
        <v>0</v>
      </c>
      <c r="L48" s="49">
        <v>529.88000000000284</v>
      </c>
      <c r="M48">
        <v>0</v>
      </c>
      <c r="N48" s="373" t="str">
        <f>HYPERLINK("http://finance.yahoo.com/q?s=" &amp; E48, "Link")</f>
        <v>Link</v>
      </c>
      <c r="O48" s="362">
        <v>2.4199999999999999E-2</v>
      </c>
      <c r="P48" s="362">
        <v>-9.1999999999999998E-3</v>
      </c>
      <c r="R48" s="49"/>
    </row>
    <row r="49" spans="1:20" ht="21.95" customHeight="1" x14ac:dyDescent="0.25">
      <c r="A49" s="51"/>
      <c r="B49" s="51"/>
      <c r="C49" s="52"/>
      <c r="E49" s="23" t="s">
        <v>24</v>
      </c>
      <c r="F49" s="248">
        <v>42.46</v>
      </c>
      <c r="G49" s="248">
        <v>42.46</v>
      </c>
      <c r="H49" s="336">
        <v>0</v>
      </c>
      <c r="I49" s="49">
        <v>0</v>
      </c>
      <c r="J49" s="376">
        <v>0</v>
      </c>
      <c r="K49" s="362">
        <v>0</v>
      </c>
      <c r="L49" s="376">
        <v>745.43999999999505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1.0200000000000001E-2</v>
      </c>
      <c r="Q49" s="152"/>
      <c r="R49" s="49"/>
      <c r="S49" s="49"/>
      <c r="T49" s="49"/>
    </row>
    <row r="50" spans="1:20" ht="21.95" customHeight="1" x14ac:dyDescent="0.25">
      <c r="A50" s="159"/>
      <c r="B50" s="51"/>
      <c r="C50" s="52"/>
      <c r="E50" s="23" t="s">
        <v>209</v>
      </c>
      <c r="F50" s="248">
        <v>37.07</v>
      </c>
      <c r="G50" s="248">
        <v>37.07</v>
      </c>
      <c r="H50" s="336">
        <v>0</v>
      </c>
      <c r="I50" s="49">
        <v>0</v>
      </c>
      <c r="J50" s="376">
        <v>0</v>
      </c>
      <c r="K50" s="362">
        <v>0</v>
      </c>
      <c r="L50" s="376">
        <v>439.77999999999975</v>
      </c>
      <c r="M50">
        <v>0</v>
      </c>
      <c r="N50" s="373" t="str">
        <f>HYPERLINK("http://finance.yahoo.com/q?s=" &amp; E50, "Link")</f>
        <v>Link</v>
      </c>
      <c r="O50" s="372">
        <v>0</v>
      </c>
      <c r="P50" s="372">
        <v>3.2000000000000002E-3</v>
      </c>
      <c r="Q50" s="49"/>
      <c r="R50" s="49"/>
      <c r="S50" s="49"/>
      <c r="T50" s="49"/>
    </row>
    <row r="51" spans="1:20" ht="21.95" customHeight="1" x14ac:dyDescent="0.25">
      <c r="A51" s="51"/>
      <c r="B51" s="51"/>
      <c r="C51" s="52"/>
      <c r="E51" s="23" t="s">
        <v>56</v>
      </c>
      <c r="F51" s="248">
        <v>37.01</v>
      </c>
      <c r="G51" s="248">
        <v>37.01</v>
      </c>
      <c r="H51" s="336">
        <v>0</v>
      </c>
      <c r="I51" s="49">
        <v>0</v>
      </c>
      <c r="J51" s="376">
        <v>0</v>
      </c>
      <c r="K51" s="362">
        <v>0</v>
      </c>
      <c r="L51" s="376">
        <v>36.819999999999709</v>
      </c>
      <c r="M51">
        <v>0</v>
      </c>
      <c r="N51" s="373" t="str">
        <f>HYPERLINK("http://finance.yahoo.com/q?s=" &amp; E51, "Link")</f>
        <v>Link</v>
      </c>
      <c r="O51" s="372">
        <v>4.1099999999999998E-2</v>
      </c>
      <c r="P51" s="372">
        <v>-7.7999999999999996E-3</v>
      </c>
      <c r="S51" s="49"/>
    </row>
    <row r="52" spans="1:20" ht="21.95" customHeight="1" x14ac:dyDescent="0.25">
      <c r="A52" s="51"/>
      <c r="B52" s="51"/>
      <c r="C52" s="52"/>
      <c r="E52" s="23" t="s">
        <v>27</v>
      </c>
      <c r="F52" s="248">
        <v>36.94</v>
      </c>
      <c r="G52" s="248">
        <v>36.94</v>
      </c>
      <c r="H52" s="336">
        <v>0</v>
      </c>
      <c r="I52" s="49">
        <v>0</v>
      </c>
      <c r="J52" s="376">
        <v>0</v>
      </c>
      <c r="K52" s="362">
        <v>0</v>
      </c>
      <c r="L52" s="376">
        <v>1407.5400000000009</v>
      </c>
      <c r="M52">
        <v>0</v>
      </c>
      <c r="N52" s="373" t="str">
        <f>HYPERLINK("http://finance.yahoo.com/q?s=" &amp; E52, "Link")</f>
        <v>Link</v>
      </c>
      <c r="O52" s="372">
        <v>2.8199999999999999E-2</v>
      </c>
      <c r="P52" s="372">
        <v>1.01E-2</v>
      </c>
      <c r="S52" s="49"/>
      <c r="T52" s="49"/>
    </row>
    <row r="53" spans="1:20" ht="21.95" customHeight="1" x14ac:dyDescent="0.25">
      <c r="A53" s="51"/>
      <c r="B53" s="51"/>
      <c r="C53" s="52"/>
      <c r="E53" s="23" t="s">
        <v>10</v>
      </c>
      <c r="F53" s="248">
        <v>35.659999999999997</v>
      </c>
      <c r="G53" s="248">
        <v>35.659999999999997</v>
      </c>
      <c r="H53" s="50">
        <v>0</v>
      </c>
      <c r="I53" s="49">
        <v>0</v>
      </c>
      <c r="J53" s="376">
        <v>0</v>
      </c>
      <c r="K53" s="362">
        <v>0</v>
      </c>
      <c r="L53" s="49">
        <v>1128.3800000000047</v>
      </c>
      <c r="M53">
        <v>0</v>
      </c>
      <c r="N53" s="373" t="str">
        <f>HYPERLINK("http://finance.yahoo.com/q?s=" &amp; E53, "Link")</f>
        <v>Link</v>
      </c>
      <c r="O53" s="362">
        <v>1.2500000000000001E-2</v>
      </c>
      <c r="P53" s="362">
        <v>6.7999999999999996E-3</v>
      </c>
    </row>
    <row r="54" spans="1:20" ht="21.95" customHeight="1" x14ac:dyDescent="0.25">
      <c r="A54" s="51"/>
      <c r="B54" s="51"/>
      <c r="C54" s="52"/>
      <c r="E54" s="23" t="s">
        <v>23</v>
      </c>
      <c r="F54" s="248">
        <v>32.39</v>
      </c>
      <c r="G54" s="248">
        <v>32.39</v>
      </c>
      <c r="H54" s="336">
        <v>0</v>
      </c>
      <c r="I54" s="49">
        <v>0</v>
      </c>
      <c r="J54" s="376">
        <v>0</v>
      </c>
      <c r="K54" s="362">
        <v>0</v>
      </c>
      <c r="L54" s="376">
        <v>21.970000000000027</v>
      </c>
      <c r="M54">
        <v>0</v>
      </c>
      <c r="N54" s="373" t="str">
        <f>HYPERLINK("http://finance.yahoo.com/q?s=" &amp; E54, "Link")</f>
        <v>Link</v>
      </c>
      <c r="O54" s="372">
        <v>0</v>
      </c>
      <c r="P54" s="372">
        <v>1.1999999999999999E-3</v>
      </c>
      <c r="Q54" s="152"/>
      <c r="R54" s="49"/>
      <c r="S54" s="49"/>
    </row>
    <row r="55" spans="1:20" ht="21.95" customHeight="1" x14ac:dyDescent="0.25">
      <c r="A55" s="52"/>
      <c r="B55" s="52"/>
      <c r="C55" s="52"/>
      <c r="E55" s="23" t="s">
        <v>287</v>
      </c>
      <c r="F55" s="248">
        <v>30.05</v>
      </c>
      <c r="G55" s="248">
        <v>30.05</v>
      </c>
      <c r="H55" s="50">
        <v>0</v>
      </c>
      <c r="I55" s="49">
        <v>0</v>
      </c>
      <c r="J55" s="376">
        <v>0</v>
      </c>
      <c r="K55" s="362">
        <v>0</v>
      </c>
      <c r="L55" s="49">
        <v>98.449999999999818</v>
      </c>
      <c r="M55">
        <v>0</v>
      </c>
      <c r="N55" s="373" t="str">
        <f>HYPERLINK("http://finance.yahoo.com/q?s=" &amp; E55, "Link")</f>
        <v>Link</v>
      </c>
      <c r="O55" s="362">
        <v>1.2E-2</v>
      </c>
      <c r="P55" s="362">
        <v>8.3999999999999995E-3</v>
      </c>
      <c r="R55" s="49"/>
      <c r="T55" s="49"/>
    </row>
    <row r="56" spans="1:20" ht="21.95" customHeight="1" x14ac:dyDescent="0.25">
      <c r="A56" s="51"/>
      <c r="B56" s="52"/>
      <c r="C56" s="52"/>
      <c r="E56" s="23" t="s">
        <v>15</v>
      </c>
      <c r="F56" s="248">
        <v>17.760000000000002</v>
      </c>
      <c r="G56" s="248">
        <v>17.760000000000002</v>
      </c>
      <c r="H56" s="336">
        <v>0</v>
      </c>
      <c r="I56" s="49">
        <v>0</v>
      </c>
      <c r="J56" s="376">
        <v>0</v>
      </c>
      <c r="K56" s="362">
        <v>0</v>
      </c>
      <c r="L56" s="376">
        <v>155.90000000000146</v>
      </c>
      <c r="M56">
        <v>0</v>
      </c>
      <c r="N56" s="373" t="str">
        <f>HYPERLINK("http://finance.yahoo.com/q?s=" &amp; E56, "Link")</f>
        <v>Link</v>
      </c>
      <c r="O56" s="372">
        <v>0</v>
      </c>
      <c r="P56" s="372">
        <v>-3.8999999999999998E-3</v>
      </c>
      <c r="S56" s="49"/>
    </row>
    <row r="57" spans="1:20" ht="21.95" customHeight="1" x14ac:dyDescent="0.25">
      <c r="A57" s="51"/>
      <c r="B57" s="51"/>
      <c r="C57" s="52"/>
      <c r="E57" s="23" t="s">
        <v>202</v>
      </c>
      <c r="F57" s="248">
        <v>12.36</v>
      </c>
      <c r="G57" s="248">
        <v>12.36</v>
      </c>
      <c r="H57" s="50">
        <v>0</v>
      </c>
      <c r="I57" s="49">
        <v>0</v>
      </c>
      <c r="J57" s="376">
        <v>0</v>
      </c>
      <c r="K57" s="362">
        <v>0</v>
      </c>
      <c r="L57" s="49">
        <v>251.26000000000022</v>
      </c>
      <c r="M57">
        <v>0</v>
      </c>
      <c r="N57" s="373" t="str">
        <f>HYPERLINK("http://finance.yahoo.com/q?s=" &amp; E57, "Link")</f>
        <v>Link</v>
      </c>
      <c r="O57" s="362">
        <v>4.8500000000000001E-2</v>
      </c>
      <c r="P57" s="362">
        <v>-5.5999999999999999E-3</v>
      </c>
      <c r="R57" s="49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  <c r="Q58" s="49"/>
      <c r="R58" s="49"/>
      <c r="S58" s="49"/>
      <c r="T58" s="49"/>
    </row>
    <row r="59" spans="1:20" ht="21.95" customHeight="1" x14ac:dyDescent="0.25">
      <c r="A59" s="52"/>
      <c r="B59" s="52"/>
      <c r="C59" s="52"/>
      <c r="E59" s="23"/>
      <c r="J59" s="376"/>
      <c r="K59" s="362"/>
      <c r="N59" s="373"/>
    </row>
    <row r="60" spans="1:20" ht="21.95" customHeight="1" x14ac:dyDescent="0.25">
      <c r="A60" s="51"/>
      <c r="B60" s="51"/>
      <c r="C60" s="52"/>
    </row>
  </sheetData>
  <sortState ref="E2:P60">
    <sortCondition descending="1" ref="I1"/>
  </sortState>
  <dataConsolidate/>
  <conditionalFormatting sqref="O1:O1048576">
    <cfRule type="expression" dxfId="107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0" priority="13">
      <formula>$H2=0</formula>
    </cfRule>
  </conditionalFormatting>
  <conditionalFormatting sqref="J2:K200">
    <cfRule type="expression" dxfId="1069" priority="14">
      <formula>$J2=0</formula>
    </cfRule>
  </conditionalFormatting>
  <conditionalFormatting sqref="L1:L1048576">
    <cfRule type="expression" dxfId="1068" priority="12">
      <formula>$L2=0</formula>
    </cfRule>
  </conditionalFormatting>
  <conditionalFormatting sqref="M1">
    <cfRule type="expression" dxfId="1067" priority="8">
      <formula>$L2=0</formula>
    </cfRule>
  </conditionalFormatting>
  <conditionalFormatting sqref="J2:K58">
    <cfRule type="expression" dxfId="1066" priority="56">
      <formula>$J2&gt;0</formula>
    </cfRule>
  </conditionalFormatting>
  <conditionalFormatting sqref="L2:L58">
    <cfRule type="expression" dxfId="1065" priority="10">
      <formula>$L2&lt;0</formula>
    </cfRule>
    <cfRule type="expression" dxfId="1064" priority="11">
      <formula>$L2&gt;0</formula>
    </cfRule>
  </conditionalFormatting>
  <conditionalFormatting sqref="J2:K458">
    <cfRule type="expression" dxfId="1063" priority="55">
      <formula>$J2&lt;0</formula>
    </cfRule>
  </conditionalFormatting>
  <conditionalFormatting sqref="P1:P1048576">
    <cfRule type="expression" dxfId="106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50" location="MYL!A1" display="MYL"/>
    <hyperlink ref="E12" location="SIG!A1" display="SIG"/>
    <hyperlink ref="E27" location="AAPL!A1" display="AAPL"/>
    <hyperlink ref="E34" location="AXP!A1" display="AXP"/>
    <hyperlink ref="E37" location="DG!A1" display="DG"/>
    <hyperlink ref="E54" location="PINC!A1" display="PINC"/>
    <hyperlink ref="E55" location="FOXA!A1" display="FOXA"/>
    <hyperlink ref="E7" location="AOBC!A1" display="AOBC"/>
    <hyperlink ref="E43" location="LUV!A1" display="LUV"/>
    <hyperlink ref="E21" location="CCE!A1" display="CCE"/>
    <hyperlink ref="E10" location="BMY!A1" display="BMY"/>
    <hyperlink ref="E39" location="AKAM!A1" display="AKAM"/>
    <hyperlink ref="E8" location="CVS!A1" display="CVS"/>
    <hyperlink ref="E2" location="MRO!A1" display="MRO"/>
    <hyperlink ref="E6" location="KR!A1" display="KR"/>
    <hyperlink ref="E57" location="F!A1" display="F"/>
    <hyperlink ref="E13" location="JNJ!A1" display="JNJ"/>
    <hyperlink ref="E3" location="CPN!A1" display="CPN"/>
    <hyperlink ref="E32" location="EW!A1" display="EW"/>
    <hyperlink ref="E22" location="NKE!A1" display="NKE"/>
    <hyperlink ref="E17" location="MOS!A1" display="MOS"/>
    <hyperlink ref="E45" location="VGK!A1" display="VGK"/>
    <hyperlink ref="E4" location="MU!A1" display="MU"/>
    <hyperlink ref="E42" location="IP!A1" display="IP"/>
    <hyperlink ref="E52" location="INTC!A1" display="INTC"/>
    <hyperlink ref="E41" location="HES!A1" display="HES"/>
    <hyperlink ref="E30" location="UNP!A1" display="UNP"/>
    <hyperlink ref="E47" location="NCLH!A1" display="NCLH"/>
    <hyperlink ref="E24" location="SPY!A1" display="SPY"/>
    <hyperlink ref="E33" location="SWKS!A1" display="SWKS"/>
    <hyperlink ref="E38" location="CNI!A1" display="CNI"/>
    <hyperlink ref="E9" location="WFC!A1" display="WFC"/>
    <hyperlink ref="E53" location="AA!A1" display="AA"/>
    <hyperlink ref="E56" location="KATE!A1" display="KATE"/>
    <hyperlink ref="E14" location="CF!A1" display="CF"/>
    <hyperlink ref="E19" location="TGT!A1" display="TGT"/>
    <hyperlink ref="E46" location="NWL!A1" display="NWL"/>
    <hyperlink ref="E49" location="KORS!A1" display="KORS"/>
    <hyperlink ref="E36" location="ALL!A1" display="ALL"/>
    <hyperlink ref="E28" location="NSC!A1" display="NSC"/>
    <hyperlink ref="E25" location="AVGO!A1" display="AVGO"/>
    <hyperlink ref="E35" location="UAL!A1" display="UAL"/>
    <hyperlink ref="E20" location="CAH!A1" display="CAH"/>
    <hyperlink ref="E44" location="DAL!A1" display="DAL"/>
    <hyperlink ref="E18" location="TEVA!A1" display="TEVA"/>
    <hyperlink ref="E31" location="DIS!A1" display="DIS"/>
    <hyperlink ref="E11" location="FTR!A1" display="FTR"/>
    <hyperlink ref="E5" location="GILD!A1" display="GILD"/>
    <hyperlink ref="E40" location="WWD!A1" display="WWD"/>
    <hyperlink ref="E15" location="GIS!A1" display="GIS"/>
    <hyperlink ref="E51" location="GM!A1" display="GM"/>
    <hyperlink ref="E16" location="TMO!A1" display="TMO"/>
    <hyperlink ref="E48" location="TKR!A1" display="TKR"/>
    <hyperlink ref="E29" location="UTX!A1" display="UTX"/>
    <hyperlink ref="E2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2" activePane="bottomLeft" state="frozen"/>
      <selection activeCell="E5" sqref="E5"/>
      <selection pane="bottomLeft" activeCell="E270" sqref="E270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230</v>
      </c>
      <c r="R242" s="453"/>
      <c r="S242" s="429" t="s">
        <v>223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28949.618000001887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26839.108000001954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26822.080000000016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16.998000001938635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269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1" priority="5">
      <formula>#REF!&gt;0</formula>
    </cfRule>
    <cfRule type="expression" dxfId="10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2"/>
  <sheetViews>
    <sheetView topLeftCell="E1" zoomScaleNormal="100" workbookViewId="0">
      <pane ySplit="1" topLeftCell="A324" activePane="bottomLeft" state="frozen"/>
      <selection pane="bottomLeft" activeCell="W347" sqref="W347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302</v>
      </c>
      <c r="H1" s="348" t="s">
        <v>301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221</v>
      </c>
      <c r="T1" s="350" t="s">
        <v>222</v>
      </c>
      <c r="U1" s="349" t="s">
        <v>228</v>
      </c>
      <c r="V1" s="349" t="s">
        <v>229</v>
      </c>
      <c r="W1" s="349" t="s">
        <v>303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26822.080000000016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9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39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ref="G340" si="1286">(F340-F339)/F339</f>
        <v>3.0566629112862504E-3</v>
      </c>
      <c r="H340" s="253">
        <f t="shared" ref="H340" si="1287">(F340-F$2)/F$2</f>
        <v>9.1118879745468076E-2</v>
      </c>
      <c r="I340" s="584">
        <v>326777.7</v>
      </c>
      <c r="J340" s="255">
        <v>300000</v>
      </c>
      <c r="K340" s="255">
        <f t="shared" ref="K340" si="1288">I340-I339-J340+J339</f>
        <v>-123.78999999997905</v>
      </c>
      <c r="L340" s="175">
        <f t="shared" ref="L340" si="1289">K340/I339</f>
        <v>-3.7867676895562345E-4</v>
      </c>
      <c r="M340" s="256">
        <f t="shared" ref="M340" si="1290">I340-J340</f>
        <v>26777.700000000012</v>
      </c>
      <c r="N340" s="257">
        <f t="shared" ref="N340" si="1291">M340/J340</f>
        <v>8.9259000000000033E-2</v>
      </c>
      <c r="O340" s="256" t="b">
        <f t="shared" ref="O340" si="1292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3">I340-Q340</f>
        <v>82152</v>
      </c>
      <c r="S340" s="255">
        <v>-26746</v>
      </c>
      <c r="T340" s="255">
        <f t="shared" ref="T340" si="1294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5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ref="D341" si="1296">(C341-C340)/C340</f>
        <v>-3.6093296770529464E-3</v>
      </c>
      <c r="E341" s="251">
        <f t="shared" ref="E341" si="1297">(C341-$C$2)/$C$2</f>
        <v>7.6696600140788801E-2</v>
      </c>
      <c r="F341" s="252">
        <v>5540.08</v>
      </c>
      <c r="G341" s="175">
        <f t="shared" ref="G341" si="1298">(F341-F340)/F340</f>
        <v>-2.8025523566098855E-3</v>
      </c>
      <c r="H341" s="253">
        <f t="shared" ref="H341" si="1299">(F341-F$2)/F$2</f>
        <v>8.8060961957695888E-2</v>
      </c>
      <c r="I341" s="584">
        <v>324862.34999999998</v>
      </c>
      <c r="J341" s="255">
        <v>300000</v>
      </c>
      <c r="K341" s="255">
        <f t="shared" ref="K341" si="1300">I341-I340-J341+J340</f>
        <v>-1915.3500000000349</v>
      </c>
      <c r="L341" s="175">
        <f t="shared" ref="L341" si="1301">K341/I340</f>
        <v>-5.8613240744397029E-3</v>
      </c>
      <c r="M341" s="256">
        <f t="shared" ref="M341" si="1302">I341-J341</f>
        <v>24862.349999999977</v>
      </c>
      <c r="N341" s="257">
        <f t="shared" ref="N341" si="1303">M341/J341</f>
        <v>8.287449999999992E-2</v>
      </c>
      <c r="O341" s="256" t="b">
        <f t="shared" ref="O341" si="1304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5">I341-Q341</f>
        <v>72922.599999999977</v>
      </c>
      <c r="S341" s="255">
        <v>-27278</v>
      </c>
      <c r="T341" s="255">
        <f t="shared" ref="T341" si="1306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7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ref="D342" si="1308">(C342-C341)/C341</f>
        <v>3.3661852992237853E-3</v>
      </c>
      <c r="E342" s="251">
        <f t="shared" ref="E342" si="1309">(C342-$C$2)/$C$2</f>
        <v>8.0320960407906955E-2</v>
      </c>
      <c r="F342" s="252">
        <v>5555.33</v>
      </c>
      <c r="G342" s="175">
        <f t="shared" ref="G342" si="1310">(F342-F341)/F341</f>
        <v>2.7526678315114585E-3</v>
      </c>
      <c r="H342" s="253">
        <f t="shared" ref="H342" si="1311">(F342-F$2)/F$2</f>
        <v>9.1056032366400239E-2</v>
      </c>
      <c r="I342" s="584">
        <v>326822.08</v>
      </c>
      <c r="J342" s="255">
        <v>300000</v>
      </c>
      <c r="K342" s="255">
        <f t="shared" ref="K342" si="1312">I342-I341-J342+J341</f>
        <v>1959.7300000000396</v>
      </c>
      <c r="L342" s="175">
        <f t="shared" ref="L342" si="1313">K342/I341</f>
        <v>6.0324934545355584E-3</v>
      </c>
      <c r="M342" s="256">
        <f t="shared" ref="M342" si="1314">I342-J342</f>
        <v>26822.080000000016</v>
      </c>
      <c r="N342" s="257">
        <f t="shared" ref="N342" si="1315">M342/J342</f>
        <v>8.9406933333333383E-2</v>
      </c>
      <c r="O342" s="256" t="b">
        <f t="shared" ref="O342" si="1316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17">I342-Q342</f>
        <v>63453.530000000028</v>
      </c>
      <c r="S342" s="255">
        <v>-27778</v>
      </c>
      <c r="T342" s="255">
        <f t="shared" ref="T342" si="1318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9">N342/V342</f>
        <v>0.25346328769859666</v>
      </c>
    </row>
  </sheetData>
  <conditionalFormatting sqref="D3:D342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2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2">
    <cfRule type="colorScale" priority="2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2">
    <cfRule type="colorScale" priority="2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3:L1048576">
    <cfRule type="colorScale" priority="5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282.07</v>
      </c>
      <c r="Y2" s="10">
        <v>282.56</v>
      </c>
      <c r="Z2" s="10">
        <v>279.41000000000003</v>
      </c>
      <c r="AA2" s="10">
        <v>280.66000000000003</v>
      </c>
      <c r="AB2" s="95">
        <v>1949400</v>
      </c>
      <c r="AC2" s="10">
        <v>280.66000000000003</v>
      </c>
      <c r="AD2" s="2">
        <f>Y2-Z2</f>
        <v>3.1499999999999773</v>
      </c>
      <c r="AE2" s="138">
        <f>AC2/AC3-1</f>
        <v>1.1057606563225075E-3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280.66000000000003</v>
      </c>
      <c r="W3" s="133">
        <v>42754</v>
      </c>
      <c r="X3" s="10">
        <v>282.74</v>
      </c>
      <c r="Y3" s="10">
        <v>284.83999999999997</v>
      </c>
      <c r="Z3" s="10">
        <v>279.23</v>
      </c>
      <c r="AA3" s="10">
        <v>280.35000000000002</v>
      </c>
      <c r="AB3" s="95">
        <v>1384600</v>
      </c>
      <c r="AC3" s="10">
        <v>280.35000000000002</v>
      </c>
      <c r="AD3" s="2">
        <f t="shared" ref="AD3:AD66" si="0">Y3-Z3</f>
        <v>5.6099999999999568</v>
      </c>
      <c r="AE3" s="138">
        <f t="shared" ref="AE3:AE66" si="1">AC3/AC4-1</f>
        <v>-1.1494658157328641E-2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280.66000000000003</v>
      </c>
      <c r="R4" s="526">
        <v>1.1000000000000001E-3</v>
      </c>
      <c r="T4" s="1"/>
      <c r="W4" s="133">
        <v>42753</v>
      </c>
      <c r="X4" s="10">
        <v>284.79000000000002</v>
      </c>
      <c r="Y4" s="10">
        <v>286.16000000000003</v>
      </c>
      <c r="Z4" s="10">
        <v>282.87</v>
      </c>
      <c r="AA4" s="10">
        <v>283.61</v>
      </c>
      <c r="AB4" s="95">
        <v>1074300</v>
      </c>
      <c r="AC4" s="10">
        <v>283.61</v>
      </c>
      <c r="AD4" s="2">
        <f t="shared" si="0"/>
        <v>3.2900000000000205</v>
      </c>
      <c r="AE4" s="138">
        <f t="shared" si="1"/>
        <v>2.1200664287481796E-3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284.27999999999997</v>
      </c>
      <c r="Y5" s="10">
        <v>286.35000000000002</v>
      </c>
      <c r="Z5" s="10">
        <v>281.08</v>
      </c>
      <c r="AA5" s="10">
        <v>283.01</v>
      </c>
      <c r="AB5" s="95">
        <v>1966100</v>
      </c>
      <c r="AC5" s="10">
        <v>283.01</v>
      </c>
      <c r="AD5" s="2">
        <f t="shared" si="0"/>
        <v>5.2700000000000387</v>
      </c>
      <c r="AE5" s="138">
        <f t="shared" si="1"/>
        <v>-6.1106233538191779E-3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288.07</v>
      </c>
      <c r="Y6" s="10">
        <v>289.86</v>
      </c>
      <c r="Z6" s="10">
        <v>284.25</v>
      </c>
      <c r="AA6" s="10">
        <v>284.75</v>
      </c>
      <c r="AB6" s="95">
        <v>1691700</v>
      </c>
      <c r="AC6" s="10">
        <v>284.75</v>
      </c>
      <c r="AD6" s="2">
        <f t="shared" si="0"/>
        <v>5.6100000000000136</v>
      </c>
      <c r="AE6" s="138">
        <f t="shared" si="1"/>
        <v>-1.0494492129130895E-2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42747</v>
      </c>
      <c r="X7" s="10">
        <v>286.61</v>
      </c>
      <c r="Y7" s="10">
        <v>288.99</v>
      </c>
      <c r="Z7" s="10">
        <v>285.04000000000002</v>
      </c>
      <c r="AA7" s="10">
        <v>287.77</v>
      </c>
      <c r="AB7" s="95">
        <v>1353100</v>
      </c>
      <c r="AC7" s="10">
        <v>287.77</v>
      </c>
      <c r="AD7" s="2">
        <f t="shared" si="0"/>
        <v>3.9499999999999886</v>
      </c>
      <c r="AE7" s="138">
        <f t="shared" si="1"/>
        <v>2.2987705060777408E-3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296.95</v>
      </c>
      <c r="Y8" s="10">
        <v>297.89999999999998</v>
      </c>
      <c r="Z8" s="10">
        <v>285</v>
      </c>
      <c r="AA8" s="10">
        <v>287.11</v>
      </c>
      <c r="AB8" s="95">
        <v>2442600</v>
      </c>
      <c r="AC8" s="10">
        <v>287.11</v>
      </c>
      <c r="AD8" s="2">
        <f t="shared" si="0"/>
        <v>12.899999999999977</v>
      </c>
      <c r="AE8" s="138">
        <f t="shared" si="1"/>
        <v>-3.5864199603747648E-2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300.42</v>
      </c>
      <c r="Y9" s="10">
        <v>301.42</v>
      </c>
      <c r="Z9" s="10">
        <v>296.43</v>
      </c>
      <c r="AA9" s="10">
        <v>297.79000000000002</v>
      </c>
      <c r="AB9" s="95">
        <v>1399700</v>
      </c>
      <c r="AC9" s="10">
        <v>297.79000000000002</v>
      </c>
      <c r="AD9" s="2">
        <f t="shared" si="0"/>
        <v>4.9900000000000091</v>
      </c>
      <c r="AE9" s="138">
        <f t="shared" si="1"/>
        <v>-4.1134372282789489E-3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M39</f>
        <v>1659.3600000000079</v>
      </c>
      <c r="W10" s="133">
        <v>42744</v>
      </c>
      <c r="X10" s="10">
        <v>295.39</v>
      </c>
      <c r="Y10" s="10">
        <v>300</v>
      </c>
      <c r="Z10" s="10">
        <v>294.41000000000003</v>
      </c>
      <c r="AA10" s="10">
        <v>299.02</v>
      </c>
      <c r="AB10" s="95">
        <v>1429100</v>
      </c>
      <c r="AC10" s="10">
        <v>299.02</v>
      </c>
      <c r="AD10" s="2">
        <f t="shared" si="0"/>
        <v>5.589999999999975</v>
      </c>
      <c r="AE10" s="138">
        <f t="shared" si="1"/>
        <v>1.3627118644067737E-2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294.58999999999997</v>
      </c>
      <c r="Y11" s="10">
        <v>296.41000000000003</v>
      </c>
      <c r="Z11" s="10">
        <v>292.39</v>
      </c>
      <c r="AA11" s="10">
        <v>295</v>
      </c>
      <c r="AB11" s="95">
        <v>1077900</v>
      </c>
      <c r="AC11" s="10">
        <v>295</v>
      </c>
      <c r="AD11" s="2">
        <f t="shared" si="0"/>
        <v>4.0200000000000387</v>
      </c>
      <c r="AE11" s="138">
        <f t="shared" si="1"/>
        <v>4.8710699322138673E-3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294.81</v>
      </c>
      <c r="Y12" s="10">
        <v>296.32</v>
      </c>
      <c r="Z12" s="10">
        <v>292.22000000000003</v>
      </c>
      <c r="AA12" s="10">
        <v>293.57</v>
      </c>
      <c r="AB12" s="95">
        <v>1144200</v>
      </c>
      <c r="AC12" s="10">
        <v>293.57</v>
      </c>
      <c r="AD12" s="2">
        <f t="shared" si="0"/>
        <v>4.0999999999999659</v>
      </c>
      <c r="AE12" s="138">
        <f t="shared" si="1"/>
        <v>-1.6323754463527518E-3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291.58999999999997</v>
      </c>
      <c r="Y13" s="10">
        <v>296.83</v>
      </c>
      <c r="Z13" s="10">
        <v>290.04000000000002</v>
      </c>
      <c r="AA13" s="10">
        <v>294.05</v>
      </c>
      <c r="AB13" s="95">
        <v>1262600</v>
      </c>
      <c r="AC13" s="10">
        <v>294.05</v>
      </c>
      <c r="AD13" s="2">
        <f t="shared" si="0"/>
        <v>6.7899999999999636</v>
      </c>
      <c r="AE13" s="138">
        <f t="shared" si="1"/>
        <v>8.0216653525762016E-3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285.82</v>
      </c>
      <c r="Y14" s="10">
        <v>293.2</v>
      </c>
      <c r="Z14" s="10">
        <v>284.86</v>
      </c>
      <c r="AA14" s="10">
        <v>291.70999999999998</v>
      </c>
      <c r="AB14" s="95">
        <v>1736800</v>
      </c>
      <c r="AC14" s="10">
        <v>291.70999999999998</v>
      </c>
      <c r="AD14" s="2">
        <f t="shared" si="0"/>
        <v>8.339999999999975</v>
      </c>
      <c r="AE14" s="138">
        <f t="shared" si="1"/>
        <v>2.8669158614852863E-2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287.79000000000002</v>
      </c>
      <c r="Y15" s="10">
        <v>288.56</v>
      </c>
      <c r="Z15" s="10">
        <v>282.64</v>
      </c>
      <c r="AA15" s="10">
        <v>283.58</v>
      </c>
      <c r="AB15" s="95">
        <v>1315200</v>
      </c>
      <c r="AC15" s="10">
        <v>283.58</v>
      </c>
      <c r="AD15" s="2">
        <f t="shared" si="0"/>
        <v>5.9200000000000159</v>
      </c>
      <c r="AE15" s="138">
        <f t="shared" si="1"/>
        <v>-1.201964951398804E-2</v>
      </c>
    </row>
    <row r="16" spans="1:40" x14ac:dyDescent="0.25">
      <c r="G16" s="1"/>
      <c r="W16" s="133">
        <v>42733</v>
      </c>
      <c r="X16" s="10">
        <v>288.95999999999998</v>
      </c>
      <c r="Y16" s="10">
        <v>290.41000000000003</v>
      </c>
      <c r="Z16" s="10">
        <v>285.23</v>
      </c>
      <c r="AA16" s="10">
        <v>287.02999999999997</v>
      </c>
      <c r="AB16" s="95">
        <v>1119800</v>
      </c>
      <c r="AC16" s="10">
        <v>287.02999999999997</v>
      </c>
      <c r="AD16" s="2">
        <f t="shared" si="0"/>
        <v>5.1800000000000068</v>
      </c>
      <c r="AE16" s="138">
        <f t="shared" si="1"/>
        <v>-7.6750216076060251E-3</v>
      </c>
    </row>
    <row r="17" spans="1:31" x14ac:dyDescent="0.25">
      <c r="G17" s="1"/>
      <c r="W17" s="133">
        <v>42732</v>
      </c>
      <c r="X17" s="10">
        <v>291.99</v>
      </c>
      <c r="Y17" s="10">
        <v>292.11</v>
      </c>
      <c r="Z17" s="10">
        <v>288.5</v>
      </c>
      <c r="AA17" s="10">
        <v>289.25</v>
      </c>
      <c r="AB17" s="95">
        <v>1020900</v>
      </c>
      <c r="AC17" s="10">
        <v>289.25</v>
      </c>
      <c r="AD17" s="2">
        <f t="shared" si="0"/>
        <v>3.6100000000000136</v>
      </c>
      <c r="AE17" s="138">
        <f t="shared" si="1"/>
        <v>-6.4234679857103627E-3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295.17</v>
      </c>
      <c r="Y18" s="10">
        <v>296.38</v>
      </c>
      <c r="Z18" s="10">
        <v>290.75</v>
      </c>
      <c r="AA18" s="10">
        <v>291.12</v>
      </c>
      <c r="AB18" s="95">
        <v>1439200</v>
      </c>
      <c r="AC18" s="10">
        <v>291.12</v>
      </c>
      <c r="AD18" s="2">
        <f t="shared" si="0"/>
        <v>5.6299999999999955</v>
      </c>
      <c r="AE18" s="138">
        <f t="shared" si="1"/>
        <v>1.248565367092147E-2</v>
      </c>
    </row>
    <row r="19" spans="1:31" x14ac:dyDescent="0.25">
      <c r="N19" s="2"/>
      <c r="W19" s="133">
        <v>42727</v>
      </c>
      <c r="X19" s="10">
        <v>283.05</v>
      </c>
      <c r="Y19" s="10">
        <v>288.38</v>
      </c>
      <c r="Z19" s="10">
        <v>281.81</v>
      </c>
      <c r="AA19" s="10">
        <v>287.52999999999997</v>
      </c>
      <c r="AB19" s="95">
        <v>1110500</v>
      </c>
      <c r="AC19" s="10">
        <v>287.52999999999997</v>
      </c>
      <c r="AD19" s="2">
        <f t="shared" si="0"/>
        <v>6.5699999999999932</v>
      </c>
      <c r="AE19" s="138">
        <f t="shared" si="1"/>
        <v>1.5755820115165742E-2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281.83</v>
      </c>
      <c r="Y20" s="10">
        <v>283.17</v>
      </c>
      <c r="Z20" s="10">
        <v>280.02</v>
      </c>
      <c r="AA20" s="10">
        <v>283.07</v>
      </c>
      <c r="AB20" s="95">
        <v>1035100</v>
      </c>
      <c r="AC20" s="10">
        <v>283.07</v>
      </c>
      <c r="AD20" s="2">
        <f t="shared" si="0"/>
        <v>3.1500000000000341</v>
      </c>
      <c r="AE20" s="138">
        <f t="shared" si="1"/>
        <v>-1.4128783864930661E-4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285.06</v>
      </c>
      <c r="Y21" s="10">
        <v>285.64999999999998</v>
      </c>
      <c r="Z21" s="10">
        <v>281</v>
      </c>
      <c r="AA21" s="10">
        <v>283.11</v>
      </c>
      <c r="AB21" s="95">
        <v>1370000</v>
      </c>
      <c r="AC21" s="10">
        <v>283.11</v>
      </c>
      <c r="AD21" s="2">
        <f t="shared" si="0"/>
        <v>4.6499999999999773</v>
      </c>
      <c r="AE21" s="138">
        <f t="shared" si="1"/>
        <v>-8.6837774431876014E-3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280.98</v>
      </c>
      <c r="Y22" s="10">
        <v>286.67</v>
      </c>
      <c r="Z22" s="10">
        <v>279.13</v>
      </c>
      <c r="AA22" s="10">
        <v>285.58999999999997</v>
      </c>
      <c r="AB22" s="95">
        <v>2194500</v>
      </c>
      <c r="AC22" s="10">
        <v>285.58999999999997</v>
      </c>
      <c r="AD22" s="2">
        <f t="shared" si="0"/>
        <v>7.5400000000000205</v>
      </c>
      <c r="AE22" s="138">
        <f t="shared" si="1"/>
        <v>2.4464612404491159E-2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286.58999999999997</v>
      </c>
      <c r="Y23" s="10">
        <v>290.51</v>
      </c>
      <c r="Z23" s="10">
        <v>272.95999999999998</v>
      </c>
      <c r="AA23" s="10">
        <v>278.77</v>
      </c>
      <c r="AB23" s="95">
        <v>2471300</v>
      </c>
      <c r="AC23" s="10">
        <v>278.77</v>
      </c>
      <c r="AD23" s="2">
        <f t="shared" si="0"/>
        <v>17.550000000000011</v>
      </c>
      <c r="AE23" s="138">
        <f t="shared" si="1"/>
        <v>-2.6641061452513992E-2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287.62</v>
      </c>
      <c r="Y24" s="10">
        <v>289.08999999999997</v>
      </c>
      <c r="Z24" s="10">
        <v>286</v>
      </c>
      <c r="AA24" s="10">
        <v>286.39999999999998</v>
      </c>
      <c r="AB24" s="95">
        <v>2264700</v>
      </c>
      <c r="AC24" s="10">
        <v>286.39999999999998</v>
      </c>
      <c r="AD24" s="2">
        <f t="shared" si="0"/>
        <v>3.089999999999975</v>
      </c>
      <c r="AE24" s="138">
        <f t="shared" si="1"/>
        <v>-1.986270341847729E-3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287.16000000000003</v>
      </c>
      <c r="Y25" s="10">
        <v>288.52999999999997</v>
      </c>
      <c r="Z25" s="10">
        <v>285.02</v>
      </c>
      <c r="AA25" s="10">
        <v>286.97000000000003</v>
      </c>
      <c r="AB25" s="95">
        <v>1699600</v>
      </c>
      <c r="AC25" s="10">
        <v>286.97000000000003</v>
      </c>
      <c r="AD25" s="2">
        <f t="shared" si="0"/>
        <v>3.5099999999999909</v>
      </c>
      <c r="AE25" s="138">
        <f t="shared" si="1"/>
        <v>2.5152838427948687E-3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288.20999999999998</v>
      </c>
      <c r="Y26" s="10">
        <v>289.95999999999998</v>
      </c>
      <c r="Z26" s="10">
        <v>285.24</v>
      </c>
      <c r="AA26" s="10">
        <v>286.25</v>
      </c>
      <c r="AB26" s="95">
        <v>1271500</v>
      </c>
      <c r="AC26" s="10">
        <v>286.25</v>
      </c>
      <c r="AD26" s="2">
        <f t="shared" si="0"/>
        <v>4.7199999999999704</v>
      </c>
      <c r="AE26" s="138">
        <f t="shared" si="1"/>
        <v>-3.9320759969377894E-3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286.75</v>
      </c>
      <c r="Y27" s="10">
        <v>289.5</v>
      </c>
      <c r="Z27" s="10">
        <v>284.81</v>
      </c>
      <c r="AA27" s="10">
        <v>287.38</v>
      </c>
      <c r="AB27" s="95">
        <v>1578200</v>
      </c>
      <c r="AC27" s="10">
        <v>287.38</v>
      </c>
      <c r="AD27" s="2">
        <f t="shared" si="0"/>
        <v>4.6899999999999977</v>
      </c>
      <c r="AE27" s="138">
        <f t="shared" si="1"/>
        <v>3.1065656741944281E-3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289.2</v>
      </c>
      <c r="Y28" s="10">
        <v>290.95</v>
      </c>
      <c r="Z28" s="10">
        <v>284.07</v>
      </c>
      <c r="AA28" s="10">
        <v>286.49</v>
      </c>
      <c r="AB28" s="95">
        <v>1769100</v>
      </c>
      <c r="AC28" s="10">
        <v>286.49</v>
      </c>
      <c r="AD28" s="2">
        <f t="shared" si="0"/>
        <v>6.8799999999999955</v>
      </c>
      <c r="AE28" s="138">
        <f t="shared" si="1"/>
        <v>-4.4479966640024182E-3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305.24</v>
      </c>
      <c r="Y29" s="10">
        <v>306.98</v>
      </c>
      <c r="Z29" s="10">
        <v>281.79000000000002</v>
      </c>
      <c r="AA29" s="10">
        <v>287.77</v>
      </c>
      <c r="AB29" s="95">
        <v>6247700</v>
      </c>
      <c r="AC29" s="10">
        <v>287.77</v>
      </c>
      <c r="AD29" s="2">
        <f t="shared" si="0"/>
        <v>25.189999999999998</v>
      </c>
      <c r="AE29" s="138">
        <f t="shared" si="1"/>
        <v>-6.1131449886027145E-3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285.8</v>
      </c>
      <c r="Y30" s="10">
        <v>292.97000000000003</v>
      </c>
      <c r="Z30" s="10">
        <v>278.58</v>
      </c>
      <c r="AA30" s="10">
        <v>289.54000000000002</v>
      </c>
      <c r="AB30" s="95">
        <v>4750600</v>
      </c>
      <c r="AC30" s="10">
        <v>289.54000000000002</v>
      </c>
      <c r="AD30" s="2">
        <f t="shared" si="0"/>
        <v>14.390000000000043</v>
      </c>
      <c r="AE30" s="138">
        <f t="shared" si="1"/>
        <v>1.4861549246407257E-2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285.5</v>
      </c>
      <c r="Y31" s="10">
        <v>288.97000000000003</v>
      </c>
      <c r="Z31" s="10">
        <v>280.5</v>
      </c>
      <c r="AA31" s="10">
        <v>285.3</v>
      </c>
      <c r="AB31" s="95">
        <v>1948700</v>
      </c>
      <c r="AC31" s="10">
        <v>285.3</v>
      </c>
      <c r="AD31" s="2">
        <f t="shared" si="0"/>
        <v>8.4700000000000273</v>
      </c>
      <c r="AE31" s="138">
        <f t="shared" si="1"/>
        <v>-2.0126390987773135E-2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291.75</v>
      </c>
      <c r="Y32" s="10">
        <v>294.45</v>
      </c>
      <c r="Z32" s="10">
        <v>290</v>
      </c>
      <c r="AA32" s="10">
        <v>291.16000000000003</v>
      </c>
      <c r="AB32" s="95">
        <v>1561000</v>
      </c>
      <c r="AC32" s="10">
        <v>291.16000000000003</v>
      </c>
      <c r="AD32" s="2">
        <f t="shared" si="0"/>
        <v>4.4499999999999886</v>
      </c>
      <c r="AE32" s="138">
        <f t="shared" si="1"/>
        <v>3.2389221969539861E-3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298.94</v>
      </c>
      <c r="Y33" s="10">
        <v>299.89</v>
      </c>
      <c r="Z33" s="10">
        <v>289.48</v>
      </c>
      <c r="AA33" s="10">
        <v>290.22000000000003</v>
      </c>
      <c r="AB33" s="95">
        <v>1831200</v>
      </c>
      <c r="AC33" s="10">
        <v>290.22000000000003</v>
      </c>
      <c r="AD33" s="2">
        <f t="shared" si="0"/>
        <v>10.409999999999968</v>
      </c>
      <c r="AE33" s="138">
        <f t="shared" si="1"/>
        <v>-2.3453009859012663E-2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296.52999999999997</v>
      </c>
      <c r="Y34" s="10">
        <v>299.95</v>
      </c>
      <c r="Z34" s="10">
        <v>293.04000000000002</v>
      </c>
      <c r="AA34" s="10">
        <v>297.19</v>
      </c>
      <c r="AB34" s="95">
        <v>1423200</v>
      </c>
      <c r="AC34" s="10">
        <v>297.19</v>
      </c>
      <c r="AD34" s="2">
        <f t="shared" si="0"/>
        <v>6.9099999999999682</v>
      </c>
      <c r="AE34" s="138">
        <f t="shared" si="1"/>
        <v>4.7670565961188682E-3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42705</v>
      </c>
      <c r="X35" s="10">
        <v>296.32</v>
      </c>
      <c r="Y35" s="10">
        <v>296.64999999999998</v>
      </c>
      <c r="Z35" s="10">
        <v>293.11</v>
      </c>
      <c r="AA35" s="10">
        <v>295.77999999999997</v>
      </c>
      <c r="AB35" s="95">
        <v>1666800</v>
      </c>
      <c r="AC35" s="10">
        <v>295.77999999999997</v>
      </c>
      <c r="AD35" s="2">
        <f t="shared" si="0"/>
        <v>3.5399999999999636</v>
      </c>
      <c r="AE35" s="138">
        <f t="shared" si="1"/>
        <v>5.8149420206072833E-3</v>
      </c>
    </row>
    <row r="36" spans="1:31" x14ac:dyDescent="0.25">
      <c r="W36" s="133">
        <v>42704</v>
      </c>
      <c r="X36" s="10">
        <v>303.33999999999997</v>
      </c>
      <c r="Y36" s="10">
        <v>304.3</v>
      </c>
      <c r="Z36" s="10">
        <v>293.95</v>
      </c>
      <c r="AA36" s="10">
        <v>294.07</v>
      </c>
      <c r="AB36" s="95">
        <v>2120900</v>
      </c>
      <c r="AC36" s="10">
        <v>294.07</v>
      </c>
      <c r="AD36" s="2">
        <f t="shared" si="0"/>
        <v>10.350000000000023</v>
      </c>
      <c r="AE36" s="138">
        <f t="shared" si="1"/>
        <v>-2.8734683092776714E-2</v>
      </c>
    </row>
    <row r="37" spans="1:31" x14ac:dyDescent="0.25">
      <c r="W37" s="133">
        <v>42703</v>
      </c>
      <c r="X37" s="10">
        <v>304.73</v>
      </c>
      <c r="Y37" s="10">
        <v>307.42</v>
      </c>
      <c r="Z37" s="10">
        <v>302.52999999999997</v>
      </c>
      <c r="AA37" s="10">
        <v>302.77</v>
      </c>
      <c r="AB37" s="95">
        <v>1388400</v>
      </c>
      <c r="AC37" s="10">
        <v>302.77</v>
      </c>
      <c r="AD37" s="2">
        <f t="shared" si="0"/>
        <v>4.8900000000000432</v>
      </c>
      <c r="AE37" s="138">
        <f t="shared" si="1"/>
        <v>-3.3247745078675006E-3</v>
      </c>
    </row>
    <row r="38" spans="1:31" x14ac:dyDescent="0.25">
      <c r="W38" s="133">
        <v>42702</v>
      </c>
      <c r="X38" s="10">
        <v>304.36</v>
      </c>
      <c r="Y38" s="10">
        <v>305.83999999999997</v>
      </c>
      <c r="Z38" s="10">
        <v>301.3</v>
      </c>
      <c r="AA38" s="10">
        <v>303.77999999999997</v>
      </c>
      <c r="AB38" s="95">
        <v>1222600</v>
      </c>
      <c r="AC38" s="10">
        <v>303.77999999999997</v>
      </c>
      <c r="AD38" s="2">
        <f t="shared" si="0"/>
        <v>4.5399999999999636</v>
      </c>
      <c r="AE38" s="138">
        <f t="shared" si="1"/>
        <v>-4.652686762778524E-3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42699</v>
      </c>
      <c r="X39" s="10">
        <v>306.45999999999998</v>
      </c>
      <c r="Y39" s="10">
        <v>307.14999999999998</v>
      </c>
      <c r="Z39" s="10">
        <v>302.39</v>
      </c>
      <c r="AA39" s="10">
        <v>305.2</v>
      </c>
      <c r="AB39" s="95">
        <v>740900</v>
      </c>
      <c r="AC39" s="10">
        <v>305.2</v>
      </c>
      <c r="AD39" s="2">
        <f t="shared" si="0"/>
        <v>4.7599999999999909</v>
      </c>
      <c r="AE39" s="138">
        <f t="shared" si="1"/>
        <v>-2.3861667701762235E-3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42697</v>
      </c>
      <c r="X40" s="10">
        <v>293.82</v>
      </c>
      <c r="Y40" s="10">
        <v>308.88</v>
      </c>
      <c r="Z40" s="10">
        <v>293.8</v>
      </c>
      <c r="AA40" s="10">
        <v>305.93</v>
      </c>
      <c r="AB40" s="95">
        <v>5377500</v>
      </c>
      <c r="AC40" s="10">
        <v>305.93</v>
      </c>
      <c r="AD40" s="2">
        <f t="shared" si="0"/>
        <v>15.079999999999984</v>
      </c>
      <c r="AE40" s="138">
        <f t="shared" si="1"/>
        <v>-3.8288642293546227E-2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42696</v>
      </c>
      <c r="X41" s="10">
        <v>320.79000000000002</v>
      </c>
      <c r="Y41" s="10">
        <v>321</v>
      </c>
      <c r="Z41" s="10">
        <v>314.02</v>
      </c>
      <c r="AA41" s="10">
        <v>318.11</v>
      </c>
      <c r="AB41" s="95">
        <v>1522200</v>
      </c>
      <c r="AC41" s="10">
        <v>318.11</v>
      </c>
      <c r="AD41" s="2">
        <f t="shared" si="0"/>
        <v>6.9800000000000182</v>
      </c>
      <c r="AE41" s="138">
        <f t="shared" si="1"/>
        <v>-6.5971349585314254E-4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2" t="s">
        <v>78</v>
      </c>
      <c r="P42" s="632"/>
      <c r="T42" s="112" t="s">
        <v>113</v>
      </c>
      <c r="U42" s="4"/>
      <c r="W42" s="133">
        <v>42695</v>
      </c>
      <c r="X42" s="10">
        <v>318.36</v>
      </c>
      <c r="Y42" s="10">
        <v>320.31</v>
      </c>
      <c r="Z42" s="10">
        <v>316.52</v>
      </c>
      <c r="AA42" s="10">
        <v>318.32</v>
      </c>
      <c r="AB42" s="95">
        <v>1328500</v>
      </c>
      <c r="AC42" s="10">
        <v>318.32</v>
      </c>
      <c r="AD42" s="2">
        <f t="shared" si="0"/>
        <v>3.7900000000000205</v>
      </c>
      <c r="AE42" s="138">
        <f t="shared" si="1"/>
        <v>4.1640378548895018E-3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308.72600000000006</v>
      </c>
      <c r="Q43" s="2"/>
      <c r="T43" s="431" t="s">
        <v>98</v>
      </c>
      <c r="U43" s="499">
        <v>280.35000000000002</v>
      </c>
      <c r="W43" s="133">
        <v>42692</v>
      </c>
      <c r="X43" s="10">
        <v>318.86</v>
      </c>
      <c r="Y43" s="10">
        <v>321</v>
      </c>
      <c r="Z43" s="10">
        <v>313.31</v>
      </c>
      <c r="AA43" s="10">
        <v>317</v>
      </c>
      <c r="AB43" s="95">
        <v>1277500</v>
      </c>
      <c r="AC43" s="10">
        <v>317</v>
      </c>
      <c r="AD43" s="2">
        <f t="shared" si="0"/>
        <v>7.6899999999999977</v>
      </c>
      <c r="AE43" s="138">
        <f t="shared" si="1"/>
        <v>-7.2032571249608379E-3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305.91940000000005</v>
      </c>
      <c r="Q44" s="2"/>
      <c r="T44" s="431" t="s">
        <v>99</v>
      </c>
      <c r="U44" s="499">
        <v>282.07</v>
      </c>
      <c r="W44" s="133">
        <v>42691</v>
      </c>
      <c r="X44" s="10">
        <v>318.23</v>
      </c>
      <c r="Y44" s="10">
        <v>320.24</v>
      </c>
      <c r="Z44" s="10">
        <v>315.35000000000002</v>
      </c>
      <c r="AA44" s="10">
        <v>319.3</v>
      </c>
      <c r="AB44" s="95">
        <v>1447000</v>
      </c>
      <c r="AC44" s="10">
        <v>319.3</v>
      </c>
      <c r="AD44" s="2">
        <f t="shared" si="0"/>
        <v>4.8899999999999864</v>
      </c>
      <c r="AE44" s="138">
        <f t="shared" si="1"/>
        <v>5.1943963481819733E-3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303.11280000000005</v>
      </c>
      <c r="Q45" s="2"/>
      <c r="T45" s="431" t="s">
        <v>100</v>
      </c>
      <c r="U45" s="499" t="s">
        <v>466</v>
      </c>
      <c r="W45" s="133">
        <v>42690</v>
      </c>
      <c r="X45" s="10">
        <v>323.14999999999998</v>
      </c>
      <c r="Y45" s="10">
        <v>325.3</v>
      </c>
      <c r="Z45" s="10">
        <v>317.39</v>
      </c>
      <c r="AA45" s="10">
        <v>317.64999999999998</v>
      </c>
      <c r="AB45" s="95">
        <v>1123900</v>
      </c>
      <c r="AC45" s="10">
        <v>317.64999999999998</v>
      </c>
      <c r="AD45" s="2">
        <f t="shared" si="0"/>
        <v>7.910000000000025</v>
      </c>
      <c r="AE45" s="138">
        <f t="shared" si="1"/>
        <v>-1.5283030566061173E-2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300.30620000000005</v>
      </c>
      <c r="Q46" s="2"/>
      <c r="T46" s="431" t="s">
        <v>101</v>
      </c>
      <c r="U46" s="499" t="s">
        <v>467</v>
      </c>
      <c r="W46" s="133">
        <v>42689</v>
      </c>
      <c r="X46" s="10">
        <v>321.55</v>
      </c>
      <c r="Y46" s="10">
        <v>323.14999999999998</v>
      </c>
      <c r="Z46" s="10">
        <v>314.61</v>
      </c>
      <c r="AA46" s="10">
        <v>322.58</v>
      </c>
      <c r="AB46" s="95">
        <v>1620600</v>
      </c>
      <c r="AC46" s="10">
        <v>322.58</v>
      </c>
      <c r="AD46" s="2">
        <f t="shared" si="0"/>
        <v>8.5399999999999636</v>
      </c>
      <c r="AE46" s="138">
        <f t="shared" si="1"/>
        <v>3.3904631559300569E-3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297.49960000000004</v>
      </c>
      <c r="Q47" s="2"/>
      <c r="T47" s="431" t="s">
        <v>102</v>
      </c>
      <c r="U47" s="499">
        <v>340.46</v>
      </c>
      <c r="W47" s="133">
        <v>42688</v>
      </c>
      <c r="X47" s="10">
        <v>319.73</v>
      </c>
      <c r="Y47" s="10">
        <v>324.83</v>
      </c>
      <c r="Z47" s="10">
        <v>317.54000000000002</v>
      </c>
      <c r="AA47" s="10">
        <v>321.49</v>
      </c>
      <c r="AB47" s="95">
        <v>1564700</v>
      </c>
      <c r="AC47" s="10">
        <v>321.49</v>
      </c>
      <c r="AD47" s="2">
        <f t="shared" si="0"/>
        <v>7.2899999999999636</v>
      </c>
      <c r="AE47" s="138">
        <f t="shared" si="1"/>
        <v>7.2372955698978281E-3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294.69300000000004</v>
      </c>
      <c r="Q48" s="2"/>
      <c r="T48" s="431" t="s">
        <v>103</v>
      </c>
      <c r="U48" s="499">
        <v>0.336393</v>
      </c>
      <c r="W48" s="133">
        <v>42685</v>
      </c>
      <c r="X48" s="10">
        <v>320.29000000000002</v>
      </c>
      <c r="Y48" s="10">
        <v>322.64</v>
      </c>
      <c r="Z48" s="10">
        <v>314.47000000000003</v>
      </c>
      <c r="AA48" s="10">
        <v>319.18</v>
      </c>
      <c r="AB48" s="95">
        <v>1597700</v>
      </c>
      <c r="AC48" s="10">
        <v>319.18</v>
      </c>
      <c r="AD48" s="2">
        <f t="shared" si="0"/>
        <v>8.1699999999999591</v>
      </c>
      <c r="AE48" s="138">
        <f t="shared" si="1"/>
        <v>-1.6091245376078867E-2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291.88640000000004</v>
      </c>
      <c r="Q49" s="2"/>
      <c r="T49" s="431" t="s">
        <v>104</v>
      </c>
      <c r="U49" s="499" t="s">
        <v>385</v>
      </c>
      <c r="W49" s="133">
        <v>42684</v>
      </c>
      <c r="X49" s="10">
        <v>321.95</v>
      </c>
      <c r="Y49" s="10">
        <v>329.83</v>
      </c>
      <c r="Z49" s="10">
        <v>319.49</v>
      </c>
      <c r="AA49" s="10">
        <v>324.39999999999998</v>
      </c>
      <c r="AB49" s="95">
        <v>2665700</v>
      </c>
      <c r="AC49" s="10">
        <v>324.39999999999998</v>
      </c>
      <c r="AD49" s="2">
        <f t="shared" si="0"/>
        <v>10.339999999999975</v>
      </c>
      <c r="AE49" s="138">
        <f t="shared" si="1"/>
        <v>1.4193709748014705E-2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289.07980000000003</v>
      </c>
      <c r="Q50" s="2"/>
      <c r="T50" s="431"/>
      <c r="U50" s="499"/>
      <c r="W50" s="133">
        <v>42683</v>
      </c>
      <c r="X50" s="10">
        <v>312</v>
      </c>
      <c r="Y50" s="10">
        <v>328.98</v>
      </c>
      <c r="Z50" s="10">
        <v>309.68</v>
      </c>
      <c r="AA50" s="10">
        <v>319.86</v>
      </c>
      <c r="AB50" s="95">
        <v>4239200</v>
      </c>
      <c r="AC50" s="10">
        <v>319.86</v>
      </c>
      <c r="AD50" s="2">
        <f t="shared" si="0"/>
        <v>19.300000000000011</v>
      </c>
      <c r="AE50" s="138">
        <f t="shared" si="1"/>
        <v>8.2070365358592579E-2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286.27320000000003</v>
      </c>
      <c r="Q51" s="2"/>
      <c r="T51" s="431" t="s">
        <v>105</v>
      </c>
      <c r="U51" s="499" t="s">
        <v>468</v>
      </c>
      <c r="W51" s="133">
        <v>42682</v>
      </c>
      <c r="X51" s="10">
        <v>295.2</v>
      </c>
      <c r="Y51" s="10">
        <v>299.07</v>
      </c>
      <c r="Z51" s="10">
        <v>292.55</v>
      </c>
      <c r="AA51" s="10">
        <v>295.60000000000002</v>
      </c>
      <c r="AB51" s="95">
        <v>1031000</v>
      </c>
      <c r="AC51" s="10">
        <v>295.60000000000002</v>
      </c>
      <c r="AD51" s="2">
        <f t="shared" si="0"/>
        <v>6.5199999999999818</v>
      </c>
      <c r="AE51" s="138">
        <f t="shared" si="1"/>
        <v>-6.7654421216367666E-5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283.46660000000003</v>
      </c>
      <c r="Q52" s="2"/>
      <c r="T52" s="431" t="s">
        <v>106</v>
      </c>
      <c r="U52" s="499" t="s">
        <v>270</v>
      </c>
      <c r="W52" s="133">
        <v>42681</v>
      </c>
      <c r="X52" s="10">
        <v>290.64</v>
      </c>
      <c r="Y52" s="10">
        <v>297.27</v>
      </c>
      <c r="Z52" s="10">
        <v>289.23</v>
      </c>
      <c r="AA52" s="10">
        <v>295.62</v>
      </c>
      <c r="AB52" s="95">
        <v>2190000</v>
      </c>
      <c r="AC52" s="10">
        <v>295.62</v>
      </c>
      <c r="AD52" s="2">
        <f t="shared" si="0"/>
        <v>8.0399999999999636</v>
      </c>
      <c r="AE52" s="138">
        <f t="shared" si="1"/>
        <v>6.7220216606498129E-2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280.66000000000003</v>
      </c>
      <c r="Q53" s="2"/>
      <c r="T53" s="431" t="s">
        <v>107</v>
      </c>
      <c r="U53" s="500">
        <v>1979109</v>
      </c>
      <c r="W53" s="133">
        <v>42678</v>
      </c>
      <c r="X53" s="10">
        <v>269.39</v>
      </c>
      <c r="Y53" s="10">
        <v>279.93</v>
      </c>
      <c r="Z53" s="10">
        <v>268</v>
      </c>
      <c r="AA53" s="10">
        <v>277</v>
      </c>
      <c r="AB53" s="95">
        <v>1307600</v>
      </c>
      <c r="AC53" s="10">
        <v>277</v>
      </c>
      <c r="AD53" s="2">
        <f t="shared" si="0"/>
        <v>11.930000000000007</v>
      </c>
      <c r="AE53" s="138">
        <f t="shared" si="1"/>
        <v>1.2834107279973583E-2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277.85340000000002</v>
      </c>
      <c r="Q54" s="2"/>
      <c r="T54" s="431" t="s">
        <v>110</v>
      </c>
      <c r="U54" s="500">
        <v>1798240</v>
      </c>
      <c r="W54" s="133">
        <v>42677</v>
      </c>
      <c r="X54" s="10">
        <v>277.64999999999998</v>
      </c>
      <c r="Y54" s="10">
        <v>278.57</v>
      </c>
      <c r="Z54" s="10">
        <v>272.98</v>
      </c>
      <c r="AA54" s="10">
        <v>273.49</v>
      </c>
      <c r="AB54" s="95">
        <v>1407900</v>
      </c>
      <c r="AC54" s="10">
        <v>273.49</v>
      </c>
      <c r="AD54" s="2">
        <f t="shared" si="0"/>
        <v>5.589999999999975</v>
      </c>
      <c r="AE54" s="138">
        <f t="shared" si="1"/>
        <v>-1.3597345451922371E-2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275.04680000000002</v>
      </c>
      <c r="Q55" s="2"/>
      <c r="T55" s="431" t="s">
        <v>108</v>
      </c>
      <c r="U55" s="499" t="s">
        <v>624</v>
      </c>
      <c r="W55" s="133">
        <v>42676</v>
      </c>
      <c r="X55" s="10">
        <v>282.31</v>
      </c>
      <c r="Y55" s="10">
        <v>282.31</v>
      </c>
      <c r="Z55" s="10">
        <v>277.08999999999997</v>
      </c>
      <c r="AA55" s="10">
        <v>277.26</v>
      </c>
      <c r="AB55" s="95">
        <v>1081900</v>
      </c>
      <c r="AC55" s="10">
        <v>277.26</v>
      </c>
      <c r="AD55" s="2">
        <f t="shared" si="0"/>
        <v>5.2200000000000273</v>
      </c>
      <c r="AE55" s="138">
        <f t="shared" si="1"/>
        <v>-1.8757078142695449E-2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272.24020000000002</v>
      </c>
      <c r="T56" s="431" t="s">
        <v>111</v>
      </c>
      <c r="U56" s="499">
        <v>15.87</v>
      </c>
      <c r="W56" s="133">
        <v>42675</v>
      </c>
      <c r="X56" s="10">
        <v>280.02999999999997</v>
      </c>
      <c r="Y56" s="10">
        <v>285.18</v>
      </c>
      <c r="Z56" s="10">
        <v>279.52999999999997</v>
      </c>
      <c r="AA56" s="10">
        <v>282.56</v>
      </c>
      <c r="AB56" s="95">
        <v>1365400</v>
      </c>
      <c r="AC56" s="10">
        <v>282.56</v>
      </c>
      <c r="AD56" s="2">
        <f t="shared" si="0"/>
        <v>5.6500000000000341</v>
      </c>
      <c r="AE56" s="138">
        <f t="shared" si="1"/>
        <v>8.4945392247841589E-3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269.43360000000001</v>
      </c>
      <c r="T57" s="431" t="s">
        <v>112</v>
      </c>
      <c r="U57" s="499">
        <v>17.68</v>
      </c>
      <c r="W57" s="133">
        <v>42674</v>
      </c>
      <c r="X57" s="10">
        <v>284.91000000000003</v>
      </c>
      <c r="Y57" s="10">
        <v>285</v>
      </c>
      <c r="Z57" s="10">
        <v>279.23</v>
      </c>
      <c r="AA57" s="10">
        <v>280.18</v>
      </c>
      <c r="AB57" s="95">
        <v>1394600</v>
      </c>
      <c r="AC57" s="10">
        <v>280.18</v>
      </c>
      <c r="AD57" s="2">
        <f t="shared" si="0"/>
        <v>5.7699999999999818</v>
      </c>
      <c r="AE57" s="138">
        <f t="shared" si="1"/>
        <v>-1.219856155690302E-2</v>
      </c>
    </row>
    <row r="58" spans="1:31" x14ac:dyDescent="0.25">
      <c r="O58" s="83">
        <v>0.95</v>
      </c>
      <c r="P58" s="83">
        <f t="shared" si="5"/>
        <v>266.62700000000001</v>
      </c>
      <c r="T58" s="431" t="s">
        <v>109</v>
      </c>
      <c r="U58" s="499" t="s">
        <v>123</v>
      </c>
      <c r="W58" s="133">
        <v>42671</v>
      </c>
      <c r="X58" s="10">
        <v>290.29000000000002</v>
      </c>
      <c r="Y58" s="10">
        <v>290.47000000000003</v>
      </c>
      <c r="Z58" s="10">
        <v>280.33999999999997</v>
      </c>
      <c r="AA58" s="10">
        <v>283.64</v>
      </c>
      <c r="AB58" s="95">
        <v>1876500</v>
      </c>
      <c r="AC58" s="10">
        <v>283.64</v>
      </c>
      <c r="AD58" s="2">
        <f t="shared" si="0"/>
        <v>10.130000000000052</v>
      </c>
      <c r="AE58" s="138">
        <f t="shared" si="1"/>
        <v>-2.4923510605383448E-2</v>
      </c>
    </row>
    <row r="59" spans="1:31" x14ac:dyDescent="0.25">
      <c r="O59" s="83">
        <v>0.94</v>
      </c>
      <c r="P59" s="83">
        <f t="shared" si="5"/>
        <v>263.82040000000001</v>
      </c>
      <c r="W59" s="133">
        <v>42670</v>
      </c>
      <c r="X59" s="10">
        <v>298</v>
      </c>
      <c r="Y59" s="10">
        <v>300.77999999999997</v>
      </c>
      <c r="Z59" s="10">
        <v>290.51</v>
      </c>
      <c r="AA59" s="10">
        <v>290.89</v>
      </c>
      <c r="AB59" s="95">
        <v>1547800</v>
      </c>
      <c r="AC59" s="10">
        <v>290.89</v>
      </c>
      <c r="AD59" s="2">
        <f t="shared" si="0"/>
        <v>10.269999999999982</v>
      </c>
      <c r="AE59" s="138">
        <f t="shared" si="1"/>
        <v>-1.8788369425892126E-2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261.01380000000006</v>
      </c>
      <c r="W60" s="133">
        <v>42669</v>
      </c>
      <c r="X60" s="10">
        <v>294.98</v>
      </c>
      <c r="Y60" s="10">
        <v>301.33999999999997</v>
      </c>
      <c r="Z60" s="10">
        <v>291.3</v>
      </c>
      <c r="AA60" s="10">
        <v>296.45999999999998</v>
      </c>
      <c r="AB60" s="95">
        <v>2633100</v>
      </c>
      <c r="AC60" s="10">
        <v>296.45999999999998</v>
      </c>
      <c r="AD60" s="2">
        <f t="shared" si="0"/>
        <v>10.039999999999964</v>
      </c>
      <c r="AE60" s="138">
        <f t="shared" si="1"/>
        <v>3.6573426573426548E-2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258.20720000000006</v>
      </c>
      <c r="W61" s="133">
        <v>42668</v>
      </c>
      <c r="X61" s="10">
        <v>290.83999999999997</v>
      </c>
      <c r="Y61" s="10">
        <v>291.08</v>
      </c>
      <c r="Z61" s="10">
        <v>285.27</v>
      </c>
      <c r="AA61" s="10">
        <v>286</v>
      </c>
      <c r="AB61" s="95">
        <v>1780300</v>
      </c>
      <c r="AC61" s="10">
        <v>286</v>
      </c>
      <c r="AD61" s="2">
        <f t="shared" si="0"/>
        <v>5.8100000000000023</v>
      </c>
      <c r="AE61" s="138">
        <f t="shared" si="1"/>
        <v>-1.6438544604168048E-2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255.40060000000003</v>
      </c>
      <c r="W62" s="133">
        <v>42667</v>
      </c>
      <c r="X62" s="10">
        <v>292.3</v>
      </c>
      <c r="Y62" s="10">
        <v>293.39999999999998</v>
      </c>
      <c r="Z62" s="10">
        <v>290</v>
      </c>
      <c r="AA62" s="10">
        <v>290.77999999999997</v>
      </c>
      <c r="AB62" s="95">
        <v>1071700</v>
      </c>
      <c r="AC62" s="10">
        <v>290.77999999999997</v>
      </c>
      <c r="AD62" s="2">
        <f t="shared" si="0"/>
        <v>3.3999999999999773</v>
      </c>
      <c r="AE62" s="138">
        <f t="shared" si="1"/>
        <v>4.4727335282979119E-4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252.59400000000002</v>
      </c>
      <c r="W63" s="133">
        <v>42664</v>
      </c>
      <c r="X63" s="10">
        <v>299.07</v>
      </c>
      <c r="Y63" s="10">
        <v>299.07</v>
      </c>
      <c r="Z63" s="10">
        <v>289.77999999999997</v>
      </c>
      <c r="AA63" s="10">
        <v>290.64999999999998</v>
      </c>
      <c r="AB63" s="95">
        <v>1565900</v>
      </c>
      <c r="AC63" s="10">
        <v>290.64999999999998</v>
      </c>
      <c r="AD63" s="2">
        <f t="shared" si="0"/>
        <v>9.2900000000000205</v>
      </c>
      <c r="AE63" s="138">
        <f t="shared" si="1"/>
        <v>-3.0067409731028616E-2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42663</v>
      </c>
      <c r="X64" s="10">
        <v>293.85000000000002</v>
      </c>
      <c r="Y64" s="10">
        <v>300.32</v>
      </c>
      <c r="Z64" s="10">
        <v>293.77</v>
      </c>
      <c r="AA64" s="10">
        <v>299.66000000000003</v>
      </c>
      <c r="AB64" s="95">
        <v>1321000</v>
      </c>
      <c r="AC64" s="10">
        <v>299.66000000000003</v>
      </c>
      <c r="AD64" s="2">
        <f t="shared" si="0"/>
        <v>6.5500000000000114</v>
      </c>
      <c r="AE64" s="138">
        <f t="shared" si="1"/>
        <v>1.5314765873822633E-2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42662</v>
      </c>
      <c r="X65" s="10">
        <v>296.26</v>
      </c>
      <c r="Y65" s="10">
        <v>296.54000000000002</v>
      </c>
      <c r="Z65" s="10">
        <v>292.49</v>
      </c>
      <c r="AA65" s="10">
        <v>295.14</v>
      </c>
      <c r="AB65" s="95">
        <v>986800</v>
      </c>
      <c r="AC65" s="10">
        <v>295.14</v>
      </c>
      <c r="AD65" s="2">
        <f t="shared" si="0"/>
        <v>4.0500000000000114</v>
      </c>
      <c r="AE65" s="138">
        <f t="shared" si="1"/>
        <v>3.0503304524653885E-4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42661</v>
      </c>
      <c r="X66" s="10">
        <v>292.87</v>
      </c>
      <c r="Y66" s="10">
        <v>298.57</v>
      </c>
      <c r="Z66" s="10">
        <v>292.63</v>
      </c>
      <c r="AA66" s="10">
        <v>295.05</v>
      </c>
      <c r="AB66" s="95">
        <v>1151100</v>
      </c>
      <c r="AC66" s="10">
        <v>295.05</v>
      </c>
      <c r="AD66" s="2">
        <f t="shared" si="0"/>
        <v>5.9399999999999977</v>
      </c>
      <c r="AE66" s="138">
        <f t="shared" si="1"/>
        <v>1.1588438989268646E-2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42660</v>
      </c>
      <c r="X67" s="10">
        <v>289.89</v>
      </c>
      <c r="Y67" s="10">
        <v>293.42</v>
      </c>
      <c r="Z67" s="10">
        <v>288.25</v>
      </c>
      <c r="AA67" s="10">
        <v>291.67</v>
      </c>
      <c r="AB67" s="95">
        <v>1207000</v>
      </c>
      <c r="AC67" s="10">
        <v>291.67</v>
      </c>
      <c r="AD67" s="2">
        <f>Y67-Z67</f>
        <v>5.1700000000000159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59" priority="58">
      <formula>F19&gt;0</formula>
    </cfRule>
    <cfRule type="expression" dxfId="10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57" priority="47">
      <formula>H25&gt;0</formula>
    </cfRule>
    <cfRule type="expression" dxfId="1056" priority="48">
      <formula>H25&lt;0</formula>
    </cfRule>
  </conditionalFormatting>
  <conditionalFormatting sqref="M39">
    <cfRule type="expression" dxfId="1055" priority="45">
      <formula>M39&gt;0</formula>
    </cfRule>
    <cfRule type="expression" dxfId="1054" priority="46">
      <formula>M39&lt;0</formula>
    </cfRule>
  </conditionalFormatting>
  <conditionalFormatting sqref="F61:F67">
    <cfRule type="expression" dxfId="1053" priority="43">
      <formula>F61&gt;0</formula>
    </cfRule>
    <cfRule type="expression" dxfId="1052" priority="44">
      <formula>F61&lt;0</formula>
    </cfRule>
  </conditionalFormatting>
  <conditionalFormatting sqref="H61:H67">
    <cfRule type="expression" dxfId="1051" priority="41">
      <formula>H61&gt;0</formula>
    </cfRule>
    <cfRule type="expression" dxfId="1050" priority="42">
      <formula>H61&lt;0</formula>
    </cfRule>
  </conditionalFormatting>
  <conditionalFormatting sqref="F21:F24">
    <cfRule type="expression" dxfId="1049" priority="39">
      <formula>F21&gt;0</formula>
    </cfRule>
    <cfRule type="expression" dxfId="1048" priority="40">
      <formula>F21&lt;0</formula>
    </cfRule>
  </conditionalFormatting>
  <conditionalFormatting sqref="H21:H24">
    <cfRule type="expression" dxfId="1047" priority="37">
      <formula>H21&gt;0</formula>
    </cfRule>
    <cfRule type="expression" dxfId="1046" priority="38">
      <formula>H21&lt;0</formula>
    </cfRule>
  </conditionalFormatting>
  <conditionalFormatting sqref="I25:I28">
    <cfRule type="expression" dxfId="1045" priority="31">
      <formula>I25&gt;0</formula>
    </cfRule>
    <cfRule type="expression" dxfId="1044" priority="32">
      <formula>I25&lt;0</formula>
    </cfRule>
  </conditionalFormatting>
  <conditionalFormatting sqref="I21:I24">
    <cfRule type="expression" dxfId="1043" priority="29">
      <formula>I21&gt;0</formula>
    </cfRule>
    <cfRule type="expression" dxfId="1042" priority="30">
      <formula>I21&lt;0</formula>
    </cfRule>
  </conditionalFormatting>
  <conditionalFormatting sqref="H29">
    <cfRule type="expression" dxfId="1041" priority="27">
      <formula>H29&gt;0</formula>
    </cfRule>
    <cfRule type="expression" dxfId="1040" priority="28">
      <formula>H29&lt;0</formula>
    </cfRule>
  </conditionalFormatting>
  <conditionalFormatting sqref="H30">
    <cfRule type="expression" dxfId="1039" priority="25">
      <formula>H30&gt;0</formula>
    </cfRule>
    <cfRule type="expression" dxfId="1038" priority="26">
      <formula>H30&lt;0</formula>
    </cfRule>
  </conditionalFormatting>
  <conditionalFormatting sqref="H31">
    <cfRule type="expression" dxfId="1037" priority="23">
      <formula>H31&gt;0</formula>
    </cfRule>
    <cfRule type="expression" dxfId="1036" priority="24">
      <formula>H31&lt;0</formula>
    </cfRule>
  </conditionalFormatting>
  <conditionalFormatting sqref="Q7">
    <cfRule type="expression" dxfId="1035" priority="21">
      <formula>Q7&gt;0</formula>
    </cfRule>
    <cfRule type="expression" dxfId="1034" priority="22">
      <formula>Q7&lt;0</formula>
    </cfRule>
  </conditionalFormatting>
  <conditionalFormatting sqref="Q8">
    <cfRule type="expression" dxfId="1033" priority="19">
      <formula>Q8&gt;0</formula>
    </cfRule>
    <cfRule type="expression" dxfId="1032" priority="20">
      <formula>Q8&lt;0</formula>
    </cfRule>
  </conditionalFormatting>
  <conditionalFormatting sqref="F73:F82">
    <cfRule type="expression" dxfId="1031" priority="17">
      <formula>F73&gt;0</formula>
    </cfRule>
    <cfRule type="expression" dxfId="1030" priority="18">
      <formula>F73&lt;0</formula>
    </cfRule>
  </conditionalFormatting>
  <conditionalFormatting sqref="H73:H76">
    <cfRule type="expression" dxfId="1029" priority="15">
      <formula>H73&gt;0</formula>
    </cfRule>
    <cfRule type="expression" dxfId="1028" priority="16">
      <formula>H73&lt;0</formula>
    </cfRule>
  </conditionalFormatting>
  <conditionalFormatting sqref="F69:F72">
    <cfRule type="expression" dxfId="1027" priority="13">
      <formula>F69&gt;0</formula>
    </cfRule>
    <cfRule type="expression" dxfId="1026" priority="14">
      <formula>F69&lt;0</formula>
    </cfRule>
  </conditionalFormatting>
  <conditionalFormatting sqref="H69:H72">
    <cfRule type="expression" dxfId="1025" priority="11">
      <formula>H69&gt;0</formula>
    </cfRule>
    <cfRule type="expression" dxfId="1024" priority="12">
      <formula>H69&lt;0</formula>
    </cfRule>
  </conditionalFormatting>
  <conditionalFormatting sqref="I73:I76">
    <cfRule type="expression" dxfId="1023" priority="9">
      <formula>I73&gt;0</formula>
    </cfRule>
    <cfRule type="expression" dxfId="1022" priority="10">
      <formula>I73&lt;0</formula>
    </cfRule>
  </conditionalFormatting>
  <conditionalFormatting sqref="I69:I72">
    <cfRule type="expression" dxfId="1021" priority="7">
      <formula>I69&gt;0</formula>
    </cfRule>
    <cfRule type="expression" dxfId="1020" priority="8">
      <formula>I69&lt;0</formula>
    </cfRule>
  </conditionalFormatting>
  <conditionalFormatting sqref="H77">
    <cfRule type="expression" dxfId="1019" priority="5">
      <formula>H77&gt;0</formula>
    </cfRule>
    <cfRule type="expression" dxfId="1018" priority="6">
      <formula>H77&lt;0</formula>
    </cfRule>
  </conditionalFormatting>
  <conditionalFormatting sqref="H78">
    <cfRule type="expression" dxfId="1017" priority="3">
      <formula>H78&gt;0</formula>
    </cfRule>
    <cfRule type="expression" dxfId="1016" priority="4">
      <formula>H78&lt;0</formula>
    </cfRule>
  </conditionalFormatting>
  <conditionalFormatting sqref="H79">
    <cfRule type="expression" dxfId="1015" priority="1">
      <formula>H79&gt;0</formula>
    </cfRule>
    <cfRule type="expression" dxfId="10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36.93</v>
      </c>
      <c r="Y2" s="10">
        <v>37.35</v>
      </c>
      <c r="Z2" s="10">
        <v>36.799999999999997</v>
      </c>
      <c r="AA2" s="10">
        <v>37.07</v>
      </c>
      <c r="AB2" s="95">
        <v>3554200</v>
      </c>
      <c r="AC2" s="10">
        <v>37.07</v>
      </c>
      <c r="AD2" s="2">
        <f>Y2-Z2</f>
        <v>0.55000000000000426</v>
      </c>
      <c r="AE2" s="138">
        <f>AC2/AC3-1</f>
        <v>3.2476319350474014E-3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37.07</v>
      </c>
      <c r="W3" s="133">
        <v>42754</v>
      </c>
      <c r="X3" s="10">
        <v>37.11</v>
      </c>
      <c r="Y3" s="10">
        <v>37.299999999999997</v>
      </c>
      <c r="Z3" s="10">
        <v>36.71</v>
      </c>
      <c r="AA3" s="10">
        <v>36.950000000000003</v>
      </c>
      <c r="AB3" s="95">
        <v>4062700</v>
      </c>
      <c r="AC3" s="10">
        <v>36.950000000000003</v>
      </c>
      <c r="AD3" s="2">
        <f t="shared" ref="AD3:AD66" si="0">Y3-Z3</f>
        <v>0.58999999999999631</v>
      </c>
      <c r="AE3" s="138">
        <f t="shared" ref="AE3:AE66" si="1">AC3/AC4-1</f>
        <v>-6.4533476741057694E-3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37.07</v>
      </c>
      <c r="R4" s="526">
        <v>3.2000000000000002E-3</v>
      </c>
      <c r="T4" s="1"/>
      <c r="W4" s="133">
        <v>42753</v>
      </c>
      <c r="X4" s="10">
        <v>37.18</v>
      </c>
      <c r="Y4" s="10">
        <v>37.380000000000003</v>
      </c>
      <c r="Z4" s="10">
        <v>36.71</v>
      </c>
      <c r="AA4" s="10">
        <v>37.19</v>
      </c>
      <c r="AB4" s="95">
        <v>4247600</v>
      </c>
      <c r="AC4" s="10">
        <v>37.19</v>
      </c>
      <c r="AD4" s="2">
        <f t="shared" si="0"/>
        <v>0.67000000000000171</v>
      </c>
      <c r="AE4" s="138">
        <f t="shared" si="1"/>
        <v>3.2371189641218212E-3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36.86</v>
      </c>
      <c r="Y5" s="10">
        <v>37.36</v>
      </c>
      <c r="Z5" s="10">
        <v>36.450000000000003</v>
      </c>
      <c r="AA5" s="10">
        <v>37.07</v>
      </c>
      <c r="AB5" s="95">
        <v>4540500</v>
      </c>
      <c r="AC5" s="10">
        <v>37.07</v>
      </c>
      <c r="AD5" s="2">
        <f t="shared" si="0"/>
        <v>0.90999999999999659</v>
      </c>
      <c r="AE5" s="138">
        <f t="shared" si="1"/>
        <v>9.2567383610129284E-3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36.79</v>
      </c>
      <c r="Y6" s="10">
        <v>37.020000000000003</v>
      </c>
      <c r="Z6" s="10">
        <v>36.35</v>
      </c>
      <c r="AA6" s="10">
        <v>36.729999999999997</v>
      </c>
      <c r="AB6" s="95">
        <v>5031400</v>
      </c>
      <c r="AC6" s="10">
        <v>36.729999999999997</v>
      </c>
      <c r="AD6" s="2">
        <f t="shared" si="0"/>
        <v>0.67000000000000171</v>
      </c>
      <c r="AE6" s="138">
        <f t="shared" si="1"/>
        <v>-1.0878433505576712E-3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42747</v>
      </c>
      <c r="X7" s="10">
        <v>37.44</v>
      </c>
      <c r="Y7" s="10">
        <v>37.44</v>
      </c>
      <c r="Z7" s="10">
        <v>36.17</v>
      </c>
      <c r="AA7" s="10">
        <v>36.770000000000003</v>
      </c>
      <c r="AB7" s="95">
        <v>7165400</v>
      </c>
      <c r="AC7" s="10">
        <v>36.770000000000003</v>
      </c>
      <c r="AD7" s="2">
        <f t="shared" si="0"/>
        <v>1.269999999999996</v>
      </c>
      <c r="AE7" s="138">
        <f t="shared" si="1"/>
        <v>-1.3680257510729543E-2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39.549999999999997</v>
      </c>
      <c r="Y8" s="10">
        <v>39.58</v>
      </c>
      <c r="Z8" s="10">
        <v>37.08</v>
      </c>
      <c r="AA8" s="10">
        <v>37.28</v>
      </c>
      <c r="AB8" s="95">
        <v>11748800</v>
      </c>
      <c r="AC8" s="10">
        <v>37.28</v>
      </c>
      <c r="AD8" s="2">
        <f t="shared" si="0"/>
        <v>2.5</v>
      </c>
      <c r="AE8" s="138">
        <f t="shared" si="1"/>
        <v>-4.2875481386392855E-2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39.229999999999997</v>
      </c>
      <c r="Y9" s="10">
        <v>39.369999999999997</v>
      </c>
      <c r="Z9" s="10">
        <v>38.67</v>
      </c>
      <c r="AA9" s="10">
        <v>38.950000000000003</v>
      </c>
      <c r="AB9" s="95">
        <v>3409800</v>
      </c>
      <c r="AC9" s="10">
        <v>38.950000000000003</v>
      </c>
      <c r="AD9" s="2">
        <f t="shared" si="0"/>
        <v>0.69999999999999574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M35</f>
        <v>439.77999999999975</v>
      </c>
      <c r="W10" s="133">
        <v>42744</v>
      </c>
      <c r="X10" s="10">
        <v>38.5</v>
      </c>
      <c r="Y10" s="10">
        <v>39.130000000000003</v>
      </c>
      <c r="Z10" s="10">
        <v>38.409999999999997</v>
      </c>
      <c r="AA10" s="10">
        <v>38.950000000000003</v>
      </c>
      <c r="AB10" s="95">
        <v>3382200</v>
      </c>
      <c r="AC10" s="10">
        <v>38.950000000000003</v>
      </c>
      <c r="AD10" s="2">
        <f t="shared" si="0"/>
        <v>0.72000000000000597</v>
      </c>
      <c r="AE10" s="138">
        <f t="shared" si="1"/>
        <v>1.1688311688311748E-2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38.869999999999997</v>
      </c>
      <c r="Y11" s="10">
        <v>39.08</v>
      </c>
      <c r="Z11" s="10">
        <v>37.950000000000003</v>
      </c>
      <c r="AA11" s="10">
        <v>38.5</v>
      </c>
      <c r="AB11" s="95">
        <v>5640000</v>
      </c>
      <c r="AC11" s="10">
        <v>38.5</v>
      </c>
      <c r="AD11" s="2">
        <f t="shared" si="0"/>
        <v>1.1299999999999955</v>
      </c>
      <c r="AE11" s="138">
        <f t="shared" si="1"/>
        <v>-1.6853932584269593E-2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38.950000000000003</v>
      </c>
      <c r="Y12" s="10">
        <v>39.47</v>
      </c>
      <c r="Z12" s="10">
        <v>38.770000000000003</v>
      </c>
      <c r="AA12" s="10">
        <v>39.159999999999997</v>
      </c>
      <c r="AB12" s="95">
        <v>5799300</v>
      </c>
      <c r="AC12" s="10">
        <v>39.159999999999997</v>
      </c>
      <c r="AD12" s="2">
        <f t="shared" si="0"/>
        <v>0.69999999999999574</v>
      </c>
      <c r="AE12" s="138">
        <f t="shared" si="1"/>
        <v>-1.1859702245773596E-2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39.32</v>
      </c>
      <c r="Y13" s="10">
        <v>40.08</v>
      </c>
      <c r="Z13" s="10">
        <v>39.25</v>
      </c>
      <c r="AA13" s="10">
        <v>39.630000000000003</v>
      </c>
      <c r="AB13" s="95">
        <v>6490300</v>
      </c>
      <c r="AC13" s="10">
        <v>39.630000000000003</v>
      </c>
      <c r="AD13" s="2">
        <f t="shared" si="0"/>
        <v>0.82999999999999829</v>
      </c>
      <c r="AE13" s="138">
        <f t="shared" si="1"/>
        <v>1.329583226796216E-2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38.479999999999997</v>
      </c>
      <c r="Y14" s="10">
        <v>39.28</v>
      </c>
      <c r="Z14" s="10">
        <v>38.42</v>
      </c>
      <c r="AA14" s="10">
        <v>39.11</v>
      </c>
      <c r="AB14" s="95">
        <v>5030200</v>
      </c>
      <c r="AC14" s="10">
        <v>39.11</v>
      </c>
      <c r="AD14" s="2">
        <f t="shared" si="0"/>
        <v>0.85999999999999943</v>
      </c>
      <c r="AE14" s="138">
        <f t="shared" si="1"/>
        <v>2.5163826998689354E-2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37.979999999999997</v>
      </c>
      <c r="Y15" s="10">
        <v>38.79</v>
      </c>
      <c r="Z15" s="10">
        <v>37.840000000000003</v>
      </c>
      <c r="AA15" s="10">
        <v>38.15</v>
      </c>
      <c r="AB15" s="95">
        <v>6311000</v>
      </c>
      <c r="AC15" s="10">
        <v>38.15</v>
      </c>
      <c r="AD15" s="2">
        <f t="shared" si="0"/>
        <v>0.94999999999999574</v>
      </c>
      <c r="AE15" s="138">
        <f t="shared" si="1"/>
        <v>2.0599250936329527E-2</v>
      </c>
    </row>
    <row r="16" spans="1:40" x14ac:dyDescent="0.25">
      <c r="G16" s="1"/>
      <c r="W16" s="133">
        <v>42733</v>
      </c>
      <c r="X16" s="10">
        <v>37.47</v>
      </c>
      <c r="Y16" s="10">
        <v>38</v>
      </c>
      <c r="Z16" s="10">
        <v>37.18</v>
      </c>
      <c r="AA16" s="10">
        <v>37.380000000000003</v>
      </c>
      <c r="AB16" s="95">
        <v>3529600</v>
      </c>
      <c r="AC16" s="10">
        <v>37.380000000000003</v>
      </c>
      <c r="AD16" s="2">
        <f t="shared" si="0"/>
        <v>0.82000000000000028</v>
      </c>
      <c r="AE16" s="138">
        <f t="shared" si="1"/>
        <v>4.5686643375437708E-3</v>
      </c>
    </row>
    <row r="17" spans="1:31" x14ac:dyDescent="0.25">
      <c r="G17" s="1"/>
      <c r="W17" s="133">
        <v>42732</v>
      </c>
      <c r="X17" s="10">
        <v>37.69</v>
      </c>
      <c r="Y17" s="10">
        <v>37.79</v>
      </c>
      <c r="Z17" s="10">
        <v>36.9</v>
      </c>
      <c r="AA17" s="10">
        <v>37.21</v>
      </c>
      <c r="AB17" s="95">
        <v>5514800</v>
      </c>
      <c r="AC17" s="10">
        <v>37.21</v>
      </c>
      <c r="AD17" s="2">
        <f t="shared" si="0"/>
        <v>0.89000000000000057</v>
      </c>
      <c r="AE17" s="138">
        <f t="shared" si="1"/>
        <v>-9.8456625864821179E-3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37.479999999999997</v>
      </c>
      <c r="Y18" s="10">
        <v>38.24</v>
      </c>
      <c r="Z18" s="10">
        <v>37.46</v>
      </c>
      <c r="AA18" s="10">
        <v>37.58</v>
      </c>
      <c r="AB18" s="95">
        <v>3860100</v>
      </c>
      <c r="AC18" s="10">
        <v>37.58</v>
      </c>
      <c r="AD18" s="2">
        <f t="shared" si="0"/>
        <v>0.78000000000000114</v>
      </c>
      <c r="AE18" s="138">
        <f t="shared" si="1"/>
        <v>2.1333333333333204E-3</v>
      </c>
    </row>
    <row r="19" spans="1:31" x14ac:dyDescent="0.25">
      <c r="N19" s="2"/>
      <c r="W19" s="133">
        <v>42727</v>
      </c>
      <c r="X19" s="10">
        <v>37.26</v>
      </c>
      <c r="Y19" s="10">
        <v>37.549999999999997</v>
      </c>
      <c r="Z19" s="10">
        <v>37.200000000000003</v>
      </c>
      <c r="AA19" s="10">
        <v>37.5</v>
      </c>
      <c r="AB19" s="95">
        <v>2077700</v>
      </c>
      <c r="AC19" s="10">
        <v>37.5</v>
      </c>
      <c r="AD19" s="2">
        <f t="shared" si="0"/>
        <v>0.34999999999999432</v>
      </c>
      <c r="AE19" s="138">
        <f t="shared" si="1"/>
        <v>5.0924685071025433E-3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37.39</v>
      </c>
      <c r="Y20" s="10">
        <v>37.81</v>
      </c>
      <c r="Z20" s="10">
        <v>37.130000000000003</v>
      </c>
      <c r="AA20" s="10">
        <v>37.31</v>
      </c>
      <c r="AB20" s="95">
        <v>3122900</v>
      </c>
      <c r="AC20" s="10">
        <v>37.31</v>
      </c>
      <c r="AD20" s="2">
        <f t="shared" si="0"/>
        <v>0.67999999999999972</v>
      </c>
      <c r="AE20" s="138">
        <f t="shared" si="1"/>
        <v>-5.5970149253731227E-3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37.4</v>
      </c>
      <c r="Y21" s="10">
        <v>37.89</v>
      </c>
      <c r="Z21" s="10">
        <v>37.049999999999997</v>
      </c>
      <c r="AA21" s="10">
        <v>37.520000000000003</v>
      </c>
      <c r="AB21" s="95">
        <v>4093000</v>
      </c>
      <c r="AC21" s="10">
        <v>37.520000000000003</v>
      </c>
      <c r="AD21" s="2">
        <f t="shared" si="0"/>
        <v>0.84000000000000341</v>
      </c>
      <c r="AE21" s="138">
        <f t="shared" si="1"/>
        <v>6.1678734245107503E-3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37.56</v>
      </c>
      <c r="Y22" s="10">
        <v>37.83</v>
      </c>
      <c r="Z22" s="10">
        <v>37.14</v>
      </c>
      <c r="AA22" s="10">
        <v>37.29</v>
      </c>
      <c r="AB22" s="95">
        <v>2479900</v>
      </c>
      <c r="AC22" s="10">
        <v>37.29</v>
      </c>
      <c r="AD22" s="2">
        <f t="shared" si="0"/>
        <v>0.68999999999999773</v>
      </c>
      <c r="AE22" s="138">
        <f t="shared" si="1"/>
        <v>-5.3347559349160578E-3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37.630000000000003</v>
      </c>
      <c r="Y23" s="10">
        <v>38.29</v>
      </c>
      <c r="Z23" s="10">
        <v>37.380000000000003</v>
      </c>
      <c r="AA23" s="10">
        <v>37.49</v>
      </c>
      <c r="AB23" s="95">
        <v>2723600</v>
      </c>
      <c r="AC23" s="10">
        <v>37.49</v>
      </c>
      <c r="AD23" s="2">
        <f t="shared" si="0"/>
        <v>0.90999999999999659</v>
      </c>
      <c r="AE23" s="138">
        <f t="shared" si="1"/>
        <v>-8.7255420412479801E-3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38.090000000000003</v>
      </c>
      <c r="Y24" s="10">
        <v>38.229999999999997</v>
      </c>
      <c r="Z24" s="10">
        <v>37.630000000000003</v>
      </c>
      <c r="AA24" s="10">
        <v>37.82</v>
      </c>
      <c r="AB24" s="95">
        <v>6506700</v>
      </c>
      <c r="AC24" s="10">
        <v>37.82</v>
      </c>
      <c r="AD24" s="2">
        <f t="shared" si="0"/>
        <v>0.59999999999999432</v>
      </c>
      <c r="AE24" s="138">
        <f t="shared" si="1"/>
        <v>1.5889830508475367E-3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42719</v>
      </c>
      <c r="X25" s="10">
        <v>37.64</v>
      </c>
      <c r="Y25" s="10">
        <v>38.1</v>
      </c>
      <c r="Z25" s="10">
        <v>37.32</v>
      </c>
      <c r="AA25" s="10">
        <v>37.76</v>
      </c>
      <c r="AB25" s="95">
        <v>4589800</v>
      </c>
      <c r="AC25" s="10">
        <v>37.76</v>
      </c>
      <c r="AD25" s="2">
        <f t="shared" si="0"/>
        <v>0.78000000000000114</v>
      </c>
      <c r="AE25" s="138">
        <f t="shared" si="1"/>
        <v>1.8572565667285268E-3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42718</v>
      </c>
      <c r="X26" s="10">
        <v>38.15</v>
      </c>
      <c r="Y26" s="10">
        <v>38.17</v>
      </c>
      <c r="Z26" s="10">
        <v>37.130000000000003</v>
      </c>
      <c r="AA26" s="10">
        <v>37.69</v>
      </c>
      <c r="AB26" s="95">
        <v>5788500</v>
      </c>
      <c r="AC26" s="10">
        <v>37.69</v>
      </c>
      <c r="AD26" s="2">
        <f t="shared" si="0"/>
        <v>1.0399999999999991</v>
      </c>
      <c r="AE26" s="138">
        <f t="shared" si="1"/>
        <v>-1.5926892950391625E-2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42717</v>
      </c>
      <c r="X27" s="10">
        <v>37.700000000000003</v>
      </c>
      <c r="Y27" s="10">
        <v>38.450000000000003</v>
      </c>
      <c r="Z27" s="10">
        <v>37.64</v>
      </c>
      <c r="AA27" s="10">
        <v>38.299999999999997</v>
      </c>
      <c r="AB27" s="95">
        <v>7002200</v>
      </c>
      <c r="AC27" s="10">
        <v>38.299999999999997</v>
      </c>
      <c r="AD27" s="2">
        <f t="shared" si="0"/>
        <v>0.81000000000000227</v>
      </c>
      <c r="AE27" s="138">
        <f t="shared" si="1"/>
        <v>3.1510907621868922E-2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42716</v>
      </c>
      <c r="X28" s="10">
        <v>36.69</v>
      </c>
      <c r="Y28" s="10">
        <v>37.299999999999997</v>
      </c>
      <c r="Z28" s="10">
        <v>36.35</v>
      </c>
      <c r="AA28" s="10">
        <v>37.130000000000003</v>
      </c>
      <c r="AB28" s="95">
        <v>4873500</v>
      </c>
      <c r="AC28" s="10">
        <v>37.130000000000003</v>
      </c>
      <c r="AD28" s="2">
        <f t="shared" si="0"/>
        <v>0.94999999999999574</v>
      </c>
      <c r="AE28" s="138">
        <f t="shared" si="1"/>
        <v>1.6981648863325205E-2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42713</v>
      </c>
      <c r="X29" s="10">
        <v>36.08</v>
      </c>
      <c r="Y29" s="10">
        <v>37.15</v>
      </c>
      <c r="Z29" s="10">
        <v>36.07</v>
      </c>
      <c r="AA29" s="10">
        <v>36.51</v>
      </c>
      <c r="AB29" s="95">
        <v>6117200</v>
      </c>
      <c r="AC29" s="10">
        <v>36.51</v>
      </c>
      <c r="AD29" s="2">
        <f t="shared" si="0"/>
        <v>1.0799999999999983</v>
      </c>
      <c r="AE29" s="138">
        <f t="shared" si="1"/>
        <v>1.2479201331114798E-2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42712</v>
      </c>
      <c r="X30" s="10">
        <v>34.5</v>
      </c>
      <c r="Y30" s="10">
        <v>36.08</v>
      </c>
      <c r="Z30" s="10">
        <v>34.24</v>
      </c>
      <c r="AA30" s="10">
        <v>36.06</v>
      </c>
      <c r="AB30" s="95">
        <v>9093500</v>
      </c>
      <c r="AC30" s="10">
        <v>36.06</v>
      </c>
      <c r="AD30" s="2">
        <f t="shared" si="0"/>
        <v>1.8399999999999963</v>
      </c>
      <c r="AE30" s="138">
        <f t="shared" si="1"/>
        <v>4.5217391304347876E-2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42711</v>
      </c>
      <c r="X31" s="10">
        <v>35.520000000000003</v>
      </c>
      <c r="Y31" s="10">
        <v>35.520000000000003</v>
      </c>
      <c r="Z31" s="10">
        <v>33.79</v>
      </c>
      <c r="AA31" s="10">
        <v>34.5</v>
      </c>
      <c r="AB31" s="95">
        <v>11540100</v>
      </c>
      <c r="AC31" s="10">
        <v>34.5</v>
      </c>
      <c r="AD31" s="2">
        <f t="shared" si="0"/>
        <v>1.730000000000004</v>
      </c>
      <c r="AE31" s="138">
        <f t="shared" si="1"/>
        <v>-3.7925264919129953E-2</v>
      </c>
    </row>
    <row r="32" spans="1:31" x14ac:dyDescent="0.25">
      <c r="W32" s="133">
        <v>42710</v>
      </c>
      <c r="X32" s="10">
        <v>35.450000000000003</v>
      </c>
      <c r="Y32" s="10">
        <v>36.020000000000003</v>
      </c>
      <c r="Z32" s="10">
        <v>34.909999999999997</v>
      </c>
      <c r="AA32" s="10">
        <v>35.86</v>
      </c>
      <c r="AB32" s="95">
        <v>5767300</v>
      </c>
      <c r="AC32" s="10">
        <v>35.86</v>
      </c>
      <c r="AD32" s="2">
        <f t="shared" si="0"/>
        <v>1.1100000000000065</v>
      </c>
      <c r="AE32" s="138">
        <f t="shared" si="1"/>
        <v>5.8906030855541136E-3</v>
      </c>
    </row>
    <row r="33" spans="1:31" x14ac:dyDescent="0.25">
      <c r="W33" s="133">
        <v>42709</v>
      </c>
      <c r="X33" s="10">
        <v>36.31</v>
      </c>
      <c r="Y33" s="10">
        <v>36.659999999999997</v>
      </c>
      <c r="Z33" s="10">
        <v>35.369999999999997</v>
      </c>
      <c r="AA33" s="10">
        <v>35.65</v>
      </c>
      <c r="AB33" s="95">
        <v>3522800</v>
      </c>
      <c r="AC33" s="10">
        <v>35.65</v>
      </c>
      <c r="AD33" s="2">
        <f t="shared" si="0"/>
        <v>1.2899999999999991</v>
      </c>
      <c r="AE33" s="138">
        <f t="shared" si="1"/>
        <v>-9.4470686301751927E-3</v>
      </c>
    </row>
    <row r="34" spans="1:31" x14ac:dyDescent="0.25">
      <c r="W34" s="133">
        <v>42706</v>
      </c>
      <c r="X34" s="10">
        <v>36.07</v>
      </c>
      <c r="Y34" s="10">
        <v>36.42</v>
      </c>
      <c r="Z34" s="10">
        <v>35.68</v>
      </c>
      <c r="AA34" s="10">
        <v>35.99</v>
      </c>
      <c r="AB34" s="95">
        <v>3538300</v>
      </c>
      <c r="AC34" s="10">
        <v>35.99</v>
      </c>
      <c r="AD34" s="2">
        <f t="shared" si="0"/>
        <v>0.74000000000000199</v>
      </c>
      <c r="AE34" s="138">
        <f t="shared" si="1"/>
        <v>-1.1101859561476468E-3</v>
      </c>
    </row>
    <row r="35" spans="1:31" x14ac:dyDescent="0.25">
      <c r="L35" t="s">
        <v>214</v>
      </c>
      <c r="M35" s="2">
        <f>K53+M53-F53</f>
        <v>439.77999999999975</v>
      </c>
      <c r="W35" s="133">
        <v>42705</v>
      </c>
      <c r="X35" s="10">
        <v>36.619999999999997</v>
      </c>
      <c r="Y35" s="10">
        <v>37.159999999999997</v>
      </c>
      <c r="Z35" s="10">
        <v>35.92</v>
      </c>
      <c r="AA35" s="10">
        <v>36.03</v>
      </c>
      <c r="AB35" s="95">
        <v>5123500</v>
      </c>
      <c r="AC35" s="10">
        <v>36.03</v>
      </c>
      <c r="AD35" s="2">
        <f t="shared" si="0"/>
        <v>1.2399999999999949</v>
      </c>
      <c r="AE35" s="138">
        <f t="shared" si="1"/>
        <v>-1.5842665938268219E-2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36.03</v>
      </c>
      <c r="Y36" s="10">
        <v>36.72</v>
      </c>
      <c r="Z36" s="10">
        <v>35.69</v>
      </c>
      <c r="AA36" s="10">
        <v>36.61</v>
      </c>
      <c r="AB36" s="95">
        <v>5522900</v>
      </c>
      <c r="AC36" s="10">
        <v>36.61</v>
      </c>
      <c r="AD36" s="2">
        <f t="shared" si="0"/>
        <v>1.0300000000000011</v>
      </c>
      <c r="AE36" s="138">
        <f t="shared" si="1"/>
        <v>1.5252357182473641E-2</v>
      </c>
    </row>
    <row r="37" spans="1:31" x14ac:dyDescent="0.25">
      <c r="A37" s="390" t="s">
        <v>209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42703</v>
      </c>
      <c r="X37" s="10">
        <v>36.76</v>
      </c>
      <c r="Y37" s="10">
        <v>37</v>
      </c>
      <c r="Z37" s="10">
        <v>35.950000000000003</v>
      </c>
      <c r="AA37" s="10">
        <v>36.06</v>
      </c>
      <c r="AB37" s="95">
        <v>3666500</v>
      </c>
      <c r="AC37" s="10">
        <v>36.06</v>
      </c>
      <c r="AD37" s="2">
        <f t="shared" si="0"/>
        <v>1.0499999999999972</v>
      </c>
      <c r="AE37" s="138">
        <f t="shared" si="1"/>
        <v>-1.8508437670114342E-2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42702</v>
      </c>
      <c r="X38" s="10">
        <v>36.72</v>
      </c>
      <c r="Y38" s="10">
        <v>37.15</v>
      </c>
      <c r="Z38" s="10">
        <v>36.67</v>
      </c>
      <c r="AA38" s="10">
        <v>36.74</v>
      </c>
      <c r="AB38" s="95">
        <v>3515200</v>
      </c>
      <c r="AC38" s="10">
        <v>36.74</v>
      </c>
      <c r="AD38" s="2">
        <f t="shared" si="0"/>
        <v>0.47999999999999687</v>
      </c>
      <c r="AE38" s="138">
        <f t="shared" si="1"/>
        <v>1.6357688113413094E-3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42699</v>
      </c>
      <c r="X39" s="10">
        <v>36.93</v>
      </c>
      <c r="Y39" s="10">
        <v>37.04</v>
      </c>
      <c r="Z39" s="10">
        <v>36.58</v>
      </c>
      <c r="AA39" s="10">
        <v>36.68</v>
      </c>
      <c r="AB39" s="95">
        <v>1303700</v>
      </c>
      <c r="AC39" s="10">
        <v>36.68</v>
      </c>
      <c r="AD39" s="2">
        <f t="shared" si="0"/>
        <v>0.46000000000000085</v>
      </c>
      <c r="AE39" s="138">
        <f t="shared" si="1"/>
        <v>-4.6132971506106513E-3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42697</v>
      </c>
      <c r="X40" s="10">
        <v>35.909999999999997</v>
      </c>
      <c r="Y40" s="10">
        <v>36.9</v>
      </c>
      <c r="Z40" s="10">
        <v>35.26</v>
      </c>
      <c r="AA40" s="10">
        <v>36.85</v>
      </c>
      <c r="AB40" s="95">
        <v>4267800</v>
      </c>
      <c r="AC40" s="10">
        <v>36.85</v>
      </c>
      <c r="AD40" s="2">
        <f t="shared" si="0"/>
        <v>1.6400000000000006</v>
      </c>
      <c r="AE40" s="138">
        <f t="shared" si="1"/>
        <v>1.4592511013215903E-2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42696</v>
      </c>
      <c r="X41" s="10">
        <v>36.619999999999997</v>
      </c>
      <c r="Y41" s="10">
        <v>36.94</v>
      </c>
      <c r="Z41" s="10">
        <v>35.9</v>
      </c>
      <c r="AA41" s="10">
        <v>36.32</v>
      </c>
      <c r="AB41" s="95">
        <v>3484400</v>
      </c>
      <c r="AC41" s="10">
        <v>36.32</v>
      </c>
      <c r="AD41" s="2">
        <f t="shared" si="0"/>
        <v>1.0399999999999991</v>
      </c>
      <c r="AE41" s="138">
        <f t="shared" si="1"/>
        <v>-9.8146128680479672E-3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2" t="s">
        <v>78</v>
      </c>
      <c r="P42" s="632"/>
      <c r="T42" s="112" t="s">
        <v>113</v>
      </c>
      <c r="U42" s="9"/>
      <c r="W42" s="133">
        <v>42695</v>
      </c>
      <c r="X42" s="10">
        <v>36.53</v>
      </c>
      <c r="Y42" s="10">
        <v>37.11</v>
      </c>
      <c r="Z42" s="10">
        <v>36.42</v>
      </c>
      <c r="AA42" s="10">
        <v>36.68</v>
      </c>
      <c r="AB42" s="95">
        <v>3698000</v>
      </c>
      <c r="AC42" s="10">
        <v>36.68</v>
      </c>
      <c r="AD42" s="2">
        <f t="shared" si="0"/>
        <v>0.68999999999999773</v>
      </c>
      <c r="AE42" s="138">
        <f t="shared" si="1"/>
        <v>5.7581573896352545E-3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40.777000000000001</v>
      </c>
      <c r="Q43" s="2"/>
      <c r="T43" s="139" t="s">
        <v>98</v>
      </c>
      <c r="U43" s="367">
        <v>36.950000000000003</v>
      </c>
      <c r="W43" s="133">
        <v>42692</v>
      </c>
      <c r="X43" s="10">
        <v>37.450000000000003</v>
      </c>
      <c r="Y43" s="10">
        <v>37.590000000000003</v>
      </c>
      <c r="Z43" s="10">
        <v>36.409999999999997</v>
      </c>
      <c r="AA43" s="10">
        <v>36.47</v>
      </c>
      <c r="AB43" s="95">
        <v>6012100</v>
      </c>
      <c r="AC43" s="10">
        <v>36.47</v>
      </c>
      <c r="AD43" s="2">
        <f t="shared" si="0"/>
        <v>1.1800000000000068</v>
      </c>
      <c r="AE43" s="138">
        <f t="shared" si="1"/>
        <v>-2.9020234291799896E-2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40.406300000000002</v>
      </c>
      <c r="Q44" s="2"/>
      <c r="T44" s="108" t="s">
        <v>99</v>
      </c>
      <c r="U44" s="368">
        <v>36.93</v>
      </c>
      <c r="W44" s="133">
        <v>42691</v>
      </c>
      <c r="X44" s="10">
        <v>38.08</v>
      </c>
      <c r="Y44" s="10">
        <v>38.130000000000003</v>
      </c>
      <c r="Z44" s="10">
        <v>37</v>
      </c>
      <c r="AA44" s="10">
        <v>37.56</v>
      </c>
      <c r="AB44" s="95">
        <v>5437700</v>
      </c>
      <c r="AC44" s="10">
        <v>37.56</v>
      </c>
      <c r="AD44" s="2">
        <f t="shared" si="0"/>
        <v>1.1300000000000026</v>
      </c>
      <c r="AE44" s="138">
        <f t="shared" si="1"/>
        <v>-8.9709762532980131E-3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40.035600000000002</v>
      </c>
      <c r="Q45" s="2"/>
      <c r="T45" s="108" t="s">
        <v>100</v>
      </c>
      <c r="U45" s="368" t="s">
        <v>469</v>
      </c>
      <c r="W45" s="133">
        <v>42690</v>
      </c>
      <c r="X45" s="10">
        <v>38.5</v>
      </c>
      <c r="Y45" s="10">
        <v>38.6</v>
      </c>
      <c r="Z45" s="10">
        <v>37.700000000000003</v>
      </c>
      <c r="AA45" s="10">
        <v>37.9</v>
      </c>
      <c r="AB45" s="95">
        <v>4728500</v>
      </c>
      <c r="AC45" s="10">
        <v>37.9</v>
      </c>
      <c r="AD45" s="2">
        <f t="shared" si="0"/>
        <v>0.89999999999999858</v>
      </c>
      <c r="AE45" s="138">
        <f t="shared" si="1"/>
        <v>-1.9658561821003562E-2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39.664900000000003</v>
      </c>
      <c r="Q46" s="2"/>
      <c r="T46" s="108" t="s">
        <v>101</v>
      </c>
      <c r="U46" s="368" t="s">
        <v>470</v>
      </c>
      <c r="W46" s="133">
        <v>42689</v>
      </c>
      <c r="X46" s="10">
        <v>38</v>
      </c>
      <c r="Y46" s="10">
        <v>38.78</v>
      </c>
      <c r="Z46" s="10">
        <v>37.4</v>
      </c>
      <c r="AA46" s="10">
        <v>38.659999999999997</v>
      </c>
      <c r="AB46" s="95">
        <v>5328100</v>
      </c>
      <c r="AC46" s="10">
        <v>38.659999999999997</v>
      </c>
      <c r="AD46" s="2">
        <f t="shared" si="0"/>
        <v>1.3800000000000026</v>
      </c>
      <c r="AE46" s="138">
        <f t="shared" si="1"/>
        <v>5.7232049947970598E-3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39.294200000000004</v>
      </c>
      <c r="Q47" s="2"/>
      <c r="T47" s="108" t="s">
        <v>102</v>
      </c>
      <c r="U47" s="368">
        <v>49.84</v>
      </c>
      <c r="W47" s="133">
        <v>42688</v>
      </c>
      <c r="X47" s="10">
        <v>37.56</v>
      </c>
      <c r="Y47" s="10">
        <v>38.53</v>
      </c>
      <c r="Z47" s="10">
        <v>37.56</v>
      </c>
      <c r="AA47" s="10">
        <v>38.44</v>
      </c>
      <c r="AB47" s="95">
        <v>4951500</v>
      </c>
      <c r="AC47" s="10">
        <v>38.44</v>
      </c>
      <c r="AD47" s="2">
        <f t="shared" si="0"/>
        <v>0.96999999999999886</v>
      </c>
      <c r="AE47" s="138">
        <f t="shared" si="1"/>
        <v>1.344582124967042E-2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38.923500000000004</v>
      </c>
      <c r="Q48" s="2"/>
      <c r="T48" s="108" t="s">
        <v>103</v>
      </c>
      <c r="U48" s="368">
        <v>1.45496</v>
      </c>
      <c r="W48" s="133">
        <v>42685</v>
      </c>
      <c r="X48" s="10">
        <v>37.92</v>
      </c>
      <c r="Y48" s="10">
        <v>38.54</v>
      </c>
      <c r="Z48" s="10">
        <v>37.409999999999997</v>
      </c>
      <c r="AA48" s="10">
        <v>37.93</v>
      </c>
      <c r="AB48" s="95">
        <v>5668000</v>
      </c>
      <c r="AC48" s="10">
        <v>37.93</v>
      </c>
      <c r="AD48" s="2">
        <f t="shared" si="0"/>
        <v>1.1300000000000026</v>
      </c>
      <c r="AE48" s="138">
        <f t="shared" si="1"/>
        <v>-9.1431556948798898E-3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38.552800000000005</v>
      </c>
      <c r="Q49" s="2"/>
      <c r="T49" s="108" t="s">
        <v>122</v>
      </c>
      <c r="U49" s="368" t="s">
        <v>344</v>
      </c>
      <c r="W49" s="133">
        <v>42684</v>
      </c>
      <c r="X49" s="10">
        <v>39.450000000000003</v>
      </c>
      <c r="Y49" s="10">
        <v>40.409999999999997</v>
      </c>
      <c r="Z49" s="10">
        <v>37.549999999999997</v>
      </c>
      <c r="AA49" s="10">
        <v>38.28</v>
      </c>
      <c r="AB49" s="95">
        <v>11946500</v>
      </c>
      <c r="AC49" s="10">
        <v>38.28</v>
      </c>
      <c r="AD49" s="2">
        <f t="shared" si="0"/>
        <v>2.8599999999999994</v>
      </c>
      <c r="AE49" s="138">
        <f t="shared" si="1"/>
        <v>-1.6443987667009274E-2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38.182099999999998</v>
      </c>
      <c r="Q50" s="2"/>
      <c r="T50" s="108"/>
      <c r="U50" s="368"/>
      <c r="W50" s="133">
        <v>42683</v>
      </c>
      <c r="X50" s="10">
        <v>40</v>
      </c>
      <c r="Y50" s="10">
        <v>40.5</v>
      </c>
      <c r="Z50" s="10">
        <v>38.549999999999997</v>
      </c>
      <c r="AA50" s="10">
        <v>38.92</v>
      </c>
      <c r="AB50" s="95">
        <v>17199100</v>
      </c>
      <c r="AC50" s="10">
        <v>38.92</v>
      </c>
      <c r="AD50" s="2">
        <f t="shared" si="0"/>
        <v>1.9500000000000028</v>
      </c>
      <c r="AE50" s="138">
        <f t="shared" si="1"/>
        <v>4.8773915386688182E-2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37.811399999999999</v>
      </c>
      <c r="Q51" s="2"/>
      <c r="T51" s="108" t="s">
        <v>105</v>
      </c>
      <c r="U51" s="368" t="s">
        <v>471</v>
      </c>
      <c r="W51" s="133">
        <v>42682</v>
      </c>
      <c r="X51" s="10">
        <v>35.61</v>
      </c>
      <c r="Y51" s="10">
        <v>37.770000000000003</v>
      </c>
      <c r="Z51" s="10">
        <v>35.450000000000003</v>
      </c>
      <c r="AA51" s="10">
        <v>37.11</v>
      </c>
      <c r="AB51" s="95">
        <v>9110100</v>
      </c>
      <c r="AC51" s="10">
        <v>37.11</v>
      </c>
      <c r="AD51" s="2">
        <f t="shared" si="0"/>
        <v>2.3200000000000003</v>
      </c>
      <c r="AE51" s="138">
        <f t="shared" si="1"/>
        <v>1.4211533205793714E-2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37.4407</v>
      </c>
      <c r="Q52" s="2"/>
      <c r="T52" s="108" t="s">
        <v>106</v>
      </c>
      <c r="U52" s="368" t="s">
        <v>405</v>
      </c>
      <c r="W52" s="133">
        <v>42681</v>
      </c>
      <c r="X52" s="10">
        <v>35.69</v>
      </c>
      <c r="Y52" s="10">
        <v>36.81</v>
      </c>
      <c r="Z52" s="10">
        <v>35.28</v>
      </c>
      <c r="AA52" s="10">
        <v>36.590000000000003</v>
      </c>
      <c r="AB52" s="95">
        <v>5742200</v>
      </c>
      <c r="AC52" s="10">
        <v>36.590000000000003</v>
      </c>
      <c r="AD52" s="2">
        <f t="shared" si="0"/>
        <v>1.5300000000000011</v>
      </c>
      <c r="AE52" s="138">
        <f t="shared" si="1"/>
        <v>4.5428571428571596E-2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37.07</v>
      </c>
      <c r="Q53" s="2"/>
      <c r="T53" s="108" t="s">
        <v>107</v>
      </c>
      <c r="U53" s="369">
        <v>3587008</v>
      </c>
      <c r="W53" s="133">
        <v>42678</v>
      </c>
      <c r="X53" s="10">
        <v>34.01</v>
      </c>
      <c r="Y53" s="10">
        <v>35.630000000000003</v>
      </c>
      <c r="Z53" s="10">
        <v>34</v>
      </c>
      <c r="AA53" s="10">
        <v>35</v>
      </c>
      <c r="AB53" s="95">
        <v>7927400</v>
      </c>
      <c r="AC53" s="10">
        <v>35</v>
      </c>
      <c r="AD53" s="2">
        <f t="shared" si="0"/>
        <v>1.6300000000000026</v>
      </c>
      <c r="AE53" s="138">
        <f t="shared" si="1"/>
        <v>2.5190392501464487E-2</v>
      </c>
    </row>
    <row r="54" spans="1:31" x14ac:dyDescent="0.25">
      <c r="O54" s="83">
        <v>0.99</v>
      </c>
      <c r="P54" s="83">
        <f t="shared" si="3"/>
        <v>36.699300000000001</v>
      </c>
      <c r="Q54" s="2"/>
      <c r="T54" s="108" t="s">
        <v>110</v>
      </c>
      <c r="U54" s="369">
        <v>5831190</v>
      </c>
      <c r="W54" s="133">
        <v>42677</v>
      </c>
      <c r="X54" s="10">
        <v>37.04</v>
      </c>
      <c r="Y54" s="10">
        <v>37.1</v>
      </c>
      <c r="Z54" s="10">
        <v>33.6</v>
      </c>
      <c r="AA54" s="10">
        <v>34.14</v>
      </c>
      <c r="AB54" s="95">
        <v>17825900</v>
      </c>
      <c r="AC54" s="10">
        <v>34.14</v>
      </c>
      <c r="AD54" s="2">
        <f t="shared" si="0"/>
        <v>3.5</v>
      </c>
      <c r="AE54" s="138">
        <f t="shared" si="1"/>
        <v>-6.8993727842923347E-2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36.328600000000002</v>
      </c>
      <c r="Q55" s="2"/>
      <c r="T55" s="108" t="s">
        <v>108</v>
      </c>
      <c r="U55" s="368" t="s">
        <v>472</v>
      </c>
      <c r="W55" s="133">
        <v>42676</v>
      </c>
      <c r="X55" s="10">
        <v>37.119999999999997</v>
      </c>
      <c r="Y55" s="10">
        <v>37.56</v>
      </c>
      <c r="Z55" s="10">
        <v>36.35</v>
      </c>
      <c r="AA55" s="10">
        <v>36.67</v>
      </c>
      <c r="AB55" s="95">
        <v>5929200</v>
      </c>
      <c r="AC55" s="10">
        <v>36.67</v>
      </c>
      <c r="AD55" s="2">
        <f t="shared" si="0"/>
        <v>1.2100000000000009</v>
      </c>
      <c r="AE55" s="138">
        <f t="shared" si="1"/>
        <v>-1.3186221743810456E-2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35.957900000000002</v>
      </c>
      <c r="T56" s="108" t="s">
        <v>111</v>
      </c>
      <c r="U56" s="368">
        <v>74.290000000000006</v>
      </c>
      <c r="W56" s="133">
        <v>42675</v>
      </c>
      <c r="X56" s="10">
        <v>36.54</v>
      </c>
      <c r="Y56" s="10">
        <v>37.32</v>
      </c>
      <c r="Z56" s="10">
        <v>36.51</v>
      </c>
      <c r="AA56" s="10">
        <v>37.159999999999997</v>
      </c>
      <c r="AB56" s="95">
        <v>6488900</v>
      </c>
      <c r="AC56" s="10">
        <v>37.159999999999997</v>
      </c>
      <c r="AD56" s="2">
        <f t="shared" si="0"/>
        <v>0.81000000000000227</v>
      </c>
      <c r="AE56" s="138">
        <f t="shared" si="1"/>
        <v>1.8082191780821821E-2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35.587199999999996</v>
      </c>
      <c r="T57" s="108" t="s">
        <v>112</v>
      </c>
      <c r="U57" s="368">
        <v>0.5</v>
      </c>
      <c r="W57" s="133">
        <v>42674</v>
      </c>
      <c r="X57" s="10">
        <v>37.29</v>
      </c>
      <c r="Y57" s="10">
        <v>37.479999999999997</v>
      </c>
      <c r="Z57" s="10">
        <v>36.479999999999997</v>
      </c>
      <c r="AA57" s="10">
        <v>36.5</v>
      </c>
      <c r="AB57" s="95">
        <v>5458100</v>
      </c>
      <c r="AC57" s="10">
        <v>36.5</v>
      </c>
      <c r="AD57" s="2">
        <f t="shared" si="0"/>
        <v>1</v>
      </c>
      <c r="AE57" s="138">
        <f t="shared" si="1"/>
        <v>-1.8553374563054503E-2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35.216499999999996</v>
      </c>
      <c r="T58" s="108" t="s">
        <v>109</v>
      </c>
      <c r="U58" s="368" t="s">
        <v>123</v>
      </c>
      <c r="W58" s="133">
        <v>42671</v>
      </c>
      <c r="X58" s="10">
        <v>37.86</v>
      </c>
      <c r="Y58" s="10">
        <v>38.75</v>
      </c>
      <c r="Z58" s="10">
        <v>36.67</v>
      </c>
      <c r="AA58" s="10">
        <v>37.19</v>
      </c>
      <c r="AB58" s="95">
        <v>7760300</v>
      </c>
      <c r="AC58" s="10">
        <v>37.19</v>
      </c>
      <c r="AD58" s="2">
        <f t="shared" si="0"/>
        <v>2.0799999999999983</v>
      </c>
      <c r="AE58" s="138">
        <f t="shared" si="1"/>
        <v>-2.1830615465544545E-2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34.845799999999997</v>
      </c>
      <c r="W59" s="133">
        <v>42670</v>
      </c>
      <c r="X59" s="10">
        <v>38.24</v>
      </c>
      <c r="Y59" s="10">
        <v>38.380000000000003</v>
      </c>
      <c r="Z59" s="10">
        <v>37.61</v>
      </c>
      <c r="AA59" s="10">
        <v>38.020000000000003</v>
      </c>
      <c r="AB59" s="95">
        <v>4515800</v>
      </c>
      <c r="AC59" s="10">
        <v>38.020000000000003</v>
      </c>
      <c r="AD59" s="2">
        <f t="shared" si="0"/>
        <v>0.77000000000000313</v>
      </c>
      <c r="AE59" s="138">
        <f t="shared" si="1"/>
        <v>-1.5756302521007237E-3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34.475100000000005</v>
      </c>
      <c r="W60" s="133">
        <v>42669</v>
      </c>
      <c r="X60" s="10">
        <v>38.479999999999997</v>
      </c>
      <c r="Y60" s="10">
        <v>38.770000000000003</v>
      </c>
      <c r="Z60" s="10">
        <v>37.65</v>
      </c>
      <c r="AA60" s="10">
        <v>38.08</v>
      </c>
      <c r="AB60" s="95">
        <v>7047100</v>
      </c>
      <c r="AC60" s="10">
        <v>38.08</v>
      </c>
      <c r="AD60" s="2">
        <f t="shared" si="0"/>
        <v>1.1200000000000045</v>
      </c>
      <c r="AE60" s="138">
        <f t="shared" si="1"/>
        <v>-1.5511892450879028E-2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34.104399999999998</v>
      </c>
      <c r="W61" s="133">
        <v>42668</v>
      </c>
      <c r="X61" s="10">
        <v>37.69</v>
      </c>
      <c r="Y61" s="10">
        <v>39.39</v>
      </c>
      <c r="Z61" s="10">
        <v>37.619999999999997</v>
      </c>
      <c r="AA61" s="10">
        <v>38.68</v>
      </c>
      <c r="AB61" s="95">
        <v>9299300</v>
      </c>
      <c r="AC61" s="10">
        <v>38.68</v>
      </c>
      <c r="AD61" s="2">
        <f t="shared" si="0"/>
        <v>1.7700000000000031</v>
      </c>
      <c r="AE61" s="138">
        <f t="shared" si="1"/>
        <v>2.9818956336528091E-2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33.733699999999999</v>
      </c>
      <c r="W62" s="133">
        <v>42667</v>
      </c>
      <c r="X62" s="10">
        <v>37.25</v>
      </c>
      <c r="Y62" s="10">
        <v>37.89</v>
      </c>
      <c r="Z62" s="10">
        <v>37.020000000000003</v>
      </c>
      <c r="AA62" s="10">
        <v>37.56</v>
      </c>
      <c r="AB62" s="95">
        <v>3149700</v>
      </c>
      <c r="AC62" s="10">
        <v>37.56</v>
      </c>
      <c r="AD62" s="2">
        <f t="shared" si="0"/>
        <v>0.86999999999999744</v>
      </c>
      <c r="AE62" s="138">
        <f t="shared" si="1"/>
        <v>1.4586709886547755E-2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33.363</v>
      </c>
      <c r="W63" s="133">
        <v>42664</v>
      </c>
      <c r="X63" s="10">
        <v>37.57</v>
      </c>
      <c r="Y63" s="10">
        <v>37.71</v>
      </c>
      <c r="Z63" s="10">
        <v>36.82</v>
      </c>
      <c r="AA63" s="10">
        <v>37.020000000000003</v>
      </c>
      <c r="AB63" s="95">
        <v>6171000</v>
      </c>
      <c r="AC63" s="10">
        <v>37.020000000000003</v>
      </c>
      <c r="AD63" s="2">
        <f t="shared" si="0"/>
        <v>0.89000000000000057</v>
      </c>
      <c r="AE63" s="138">
        <f t="shared" si="1"/>
        <v>-1.5687317202871531E-2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42663</v>
      </c>
      <c r="X64" s="10">
        <v>37.299999999999997</v>
      </c>
      <c r="Y64" s="10">
        <v>37.880000000000003</v>
      </c>
      <c r="Z64" s="10">
        <v>37.17</v>
      </c>
      <c r="AA64" s="10">
        <v>37.61</v>
      </c>
      <c r="AB64" s="95">
        <v>3596700</v>
      </c>
      <c r="AC64" s="10">
        <v>37.61</v>
      </c>
      <c r="AD64" s="2">
        <f t="shared" si="0"/>
        <v>0.71000000000000085</v>
      </c>
      <c r="AE64" s="138">
        <f t="shared" si="1"/>
        <v>1.1021505376344054E-2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42662</v>
      </c>
      <c r="X65" s="10">
        <v>37.79</v>
      </c>
      <c r="Y65" s="10">
        <v>37.99</v>
      </c>
      <c r="Z65" s="10">
        <v>37.17</v>
      </c>
      <c r="AA65" s="10">
        <v>37.200000000000003</v>
      </c>
      <c r="AB65" s="95">
        <v>3861000</v>
      </c>
      <c r="AC65" s="10">
        <v>37.200000000000003</v>
      </c>
      <c r="AD65" s="2">
        <f t="shared" si="0"/>
        <v>0.82000000000000028</v>
      </c>
      <c r="AE65" s="138">
        <f t="shared" si="1"/>
        <v>-5.0815726129980199E-3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42661</v>
      </c>
      <c r="X66" s="10">
        <v>36.950000000000003</v>
      </c>
      <c r="Y66" s="10">
        <v>37.47</v>
      </c>
      <c r="Z66" s="10">
        <v>36.69</v>
      </c>
      <c r="AA66" s="10">
        <v>37.39</v>
      </c>
      <c r="AB66" s="95">
        <v>5793500</v>
      </c>
      <c r="AC66" s="10">
        <v>37.39</v>
      </c>
      <c r="AD66" s="2">
        <f t="shared" si="0"/>
        <v>0.78000000000000114</v>
      </c>
      <c r="AE66" s="138">
        <f t="shared" si="1"/>
        <v>2.6070252469813537E-2</v>
      </c>
    </row>
    <row r="67" spans="2:31" x14ac:dyDescent="0.25">
      <c r="W67" s="133">
        <v>42660</v>
      </c>
      <c r="X67" s="10">
        <v>36.69</v>
      </c>
      <c r="Y67" s="10">
        <v>36.799999999999997</v>
      </c>
      <c r="Z67" s="10">
        <v>36.090000000000003</v>
      </c>
      <c r="AA67" s="10">
        <v>36.44</v>
      </c>
      <c r="AB67" s="95">
        <v>6709100</v>
      </c>
      <c r="AC67" s="10">
        <v>36.44</v>
      </c>
      <c r="AD67" s="2">
        <f>Y67-Z67</f>
        <v>0.70999999999999375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13" priority="25">
      <formula>N19&gt;0</formula>
    </cfRule>
    <cfRule type="expression" dxfId="10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1" priority="19">
      <formula>F21&gt;0</formula>
    </cfRule>
    <cfRule type="expression" dxfId="1010" priority="20">
      <formula>F21&lt;0</formula>
    </cfRule>
  </conditionalFormatting>
  <conditionalFormatting sqref="H21:H31">
    <cfRule type="expression" dxfId="1009" priority="17">
      <formula>H21&gt;0</formula>
    </cfRule>
    <cfRule type="expression" dxfId="1008" priority="18">
      <formula>H21&lt;0</formula>
    </cfRule>
  </conditionalFormatting>
  <conditionalFormatting sqref="I21:I31">
    <cfRule type="expression" dxfId="1007" priority="15">
      <formula>I21&gt;0</formula>
    </cfRule>
    <cfRule type="expression" dxfId="1006" priority="16">
      <formula>I21&lt;0</formula>
    </cfRule>
  </conditionalFormatting>
  <conditionalFormatting sqref="Q8">
    <cfRule type="expression" dxfId="1005" priority="7">
      <formula>Q8&gt;0</formula>
    </cfRule>
    <cfRule type="expression" dxfId="1004" priority="8">
      <formula>Q8&lt;0</formula>
    </cfRule>
  </conditionalFormatting>
  <conditionalFormatting sqref="Q7">
    <cfRule type="expression" dxfId="1003" priority="9">
      <formula>Q7&gt;0</formula>
    </cfRule>
    <cfRule type="expression" dxfId="1002" priority="10">
      <formula>Q7&lt;0</formula>
    </cfRule>
  </conditionalFormatting>
  <conditionalFormatting sqref="F56:F66">
    <cfRule type="expression" dxfId="1001" priority="5">
      <formula>F56&gt;0</formula>
    </cfRule>
    <cfRule type="expression" dxfId="1000" priority="6">
      <formula>F56&lt;0</formula>
    </cfRule>
  </conditionalFormatting>
  <conditionalFormatting sqref="H56:H66">
    <cfRule type="expression" dxfId="999" priority="3">
      <formula>H56&gt;0</formula>
    </cfRule>
    <cfRule type="expression" dxfId="998" priority="4">
      <formula>H56&lt;0</formula>
    </cfRule>
  </conditionalFormatting>
  <conditionalFormatting sqref="I56:I66">
    <cfRule type="expression" dxfId="997" priority="1">
      <formula>I56&gt;0</formula>
    </cfRule>
    <cfRule type="expression" dxfId="9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220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255</v>
      </c>
      <c r="W2" s="133">
        <v>42755</v>
      </c>
      <c r="X2" s="10">
        <v>81.05</v>
      </c>
      <c r="Y2" s="10">
        <v>81.95</v>
      </c>
      <c r="Z2" s="10">
        <v>80.28</v>
      </c>
      <c r="AA2" s="10">
        <v>80.72</v>
      </c>
      <c r="AB2" s="95">
        <v>834400</v>
      </c>
      <c r="AC2" s="10">
        <v>80.72</v>
      </c>
      <c r="AD2" s="2">
        <f>Y2-Z2</f>
        <v>1.6700000000000017</v>
      </c>
      <c r="AE2" s="138">
        <f>AC2/AC3-1</f>
        <v>-6.1904172341209485E-4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42754</v>
      </c>
      <c r="X3" s="10">
        <v>81.97</v>
      </c>
      <c r="Y3" s="10">
        <v>82.46</v>
      </c>
      <c r="Z3" s="10">
        <v>80.349999999999994</v>
      </c>
      <c r="AA3" s="10">
        <v>80.77</v>
      </c>
      <c r="AB3" s="95">
        <v>738000</v>
      </c>
      <c r="AC3" s="10">
        <v>80.77</v>
      </c>
      <c r="AD3" s="2">
        <f t="shared" ref="AD3:AD66" si="0">Y3-Z3</f>
        <v>2.1099999999999994</v>
      </c>
      <c r="AE3" s="138">
        <f t="shared" ref="AE3:AE66" si="1">AC3/AC4-1</f>
        <v>-1.5360234060709521E-2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80.72</v>
      </c>
      <c r="R4" s="526">
        <v>-5.9999999999999995E-4</v>
      </c>
      <c r="T4" s="1"/>
      <c r="W4" s="133">
        <v>42753</v>
      </c>
      <c r="X4" s="10">
        <v>81.23</v>
      </c>
      <c r="Y4" s="10">
        <v>82.06</v>
      </c>
      <c r="Z4" s="10">
        <v>79.66</v>
      </c>
      <c r="AA4" s="10">
        <v>82.03</v>
      </c>
      <c r="AB4" s="95">
        <v>1327200</v>
      </c>
      <c r="AC4" s="10">
        <v>82.03</v>
      </c>
      <c r="AD4" s="2">
        <f t="shared" si="0"/>
        <v>2.4000000000000057</v>
      </c>
      <c r="AE4" s="138">
        <f t="shared" si="1"/>
        <v>1.0844115834873547E-2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4036</v>
      </c>
      <c r="T5" s="1"/>
      <c r="W5" s="133">
        <v>42752</v>
      </c>
      <c r="X5" s="10">
        <v>80.680000000000007</v>
      </c>
      <c r="Y5" s="10">
        <v>83.17</v>
      </c>
      <c r="Z5" s="10">
        <v>80.52</v>
      </c>
      <c r="AA5" s="10">
        <v>81.150000000000006</v>
      </c>
      <c r="AB5" s="95">
        <v>1635300</v>
      </c>
      <c r="AC5" s="10">
        <v>81.150000000000006</v>
      </c>
      <c r="AD5" s="2">
        <f t="shared" si="0"/>
        <v>2.6500000000000057</v>
      </c>
      <c r="AE5" s="138">
        <f t="shared" si="1"/>
        <v>4.5803416687300036E-3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42748</v>
      </c>
      <c r="X6" s="10">
        <v>84.8</v>
      </c>
      <c r="Y6" s="10">
        <v>85.3</v>
      </c>
      <c r="Z6" s="10">
        <v>79.959999999999994</v>
      </c>
      <c r="AA6" s="10">
        <v>80.78</v>
      </c>
      <c r="AB6" s="95">
        <v>3147200</v>
      </c>
      <c r="AC6" s="10">
        <v>80.78</v>
      </c>
      <c r="AD6" s="2">
        <f t="shared" si="0"/>
        <v>5.3400000000000034</v>
      </c>
      <c r="AE6" s="138">
        <f t="shared" si="1"/>
        <v>-4.2437174016121348E-2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679.00000000000091</v>
      </c>
      <c r="R7" s="30">
        <v>42779</v>
      </c>
      <c r="W7" s="133">
        <v>42747</v>
      </c>
      <c r="X7" s="10">
        <v>84.13</v>
      </c>
      <c r="Y7" s="10">
        <v>86.35</v>
      </c>
      <c r="Z7" s="10">
        <v>83.53</v>
      </c>
      <c r="AA7" s="10">
        <v>84.36</v>
      </c>
      <c r="AB7" s="95">
        <v>3726800</v>
      </c>
      <c r="AC7" s="10">
        <v>84.36</v>
      </c>
      <c r="AD7" s="2">
        <f t="shared" si="0"/>
        <v>2.8199999999999932</v>
      </c>
      <c r="AE7" s="138">
        <f t="shared" si="1"/>
        <v>-4.0141676505313084E-3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3.0500000000001819</v>
      </c>
      <c r="W8" s="133">
        <v>42746</v>
      </c>
      <c r="X8" s="10">
        <v>81.650000000000006</v>
      </c>
      <c r="Y8" s="10">
        <v>85.3</v>
      </c>
      <c r="Z8" s="10">
        <v>81.5</v>
      </c>
      <c r="AA8" s="10">
        <v>84.7</v>
      </c>
      <c r="AB8" s="95">
        <v>4111200</v>
      </c>
      <c r="AC8" s="10">
        <v>84.7</v>
      </c>
      <c r="AD8" s="2">
        <f t="shared" si="0"/>
        <v>3.7999999999999972</v>
      </c>
      <c r="AE8" s="138">
        <f t="shared" si="1"/>
        <v>-3.1557283329522012E-2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7.5627022402960169E-4</v>
      </c>
      <c r="T9" s="158"/>
      <c r="W9" s="133">
        <v>42745</v>
      </c>
      <c r="X9" s="10">
        <v>85.96</v>
      </c>
      <c r="Y9" s="10">
        <v>87.99</v>
      </c>
      <c r="Z9" s="10">
        <v>85.67</v>
      </c>
      <c r="AA9" s="10">
        <v>87.46</v>
      </c>
      <c r="AB9" s="95">
        <v>1121900</v>
      </c>
      <c r="AC9" s="10">
        <v>87.46</v>
      </c>
      <c r="AD9" s="2">
        <f t="shared" si="0"/>
        <v>2.3199999999999932</v>
      </c>
      <c r="AE9" s="138">
        <f t="shared" si="1"/>
        <v>1.5559684161634779E-2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M82</f>
        <v>675.95000000000073</v>
      </c>
      <c r="W10" s="133">
        <v>42744</v>
      </c>
      <c r="X10" s="10">
        <v>87.84</v>
      </c>
      <c r="Y10" s="10">
        <v>88.1</v>
      </c>
      <c r="Z10" s="10">
        <v>85.25</v>
      </c>
      <c r="AA10" s="10">
        <v>86.12</v>
      </c>
      <c r="AB10" s="95">
        <v>1303100</v>
      </c>
      <c r="AC10" s="10">
        <v>86.12</v>
      </c>
      <c r="AD10" s="2">
        <f t="shared" si="0"/>
        <v>2.8499999999999943</v>
      </c>
      <c r="AE10" s="138">
        <f t="shared" si="1"/>
        <v>-2.3804126048515006E-2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1.29E-2</v>
      </c>
      <c r="W11" s="133">
        <v>42741</v>
      </c>
      <c r="X11" s="10">
        <v>88.01</v>
      </c>
      <c r="Y11" s="10">
        <v>88.53</v>
      </c>
      <c r="Z11" s="10">
        <v>87.12</v>
      </c>
      <c r="AA11" s="10">
        <v>88.22</v>
      </c>
      <c r="AB11" s="95">
        <v>1135800</v>
      </c>
      <c r="AC11" s="10">
        <v>88.22</v>
      </c>
      <c r="AD11" s="2">
        <f t="shared" si="0"/>
        <v>1.4099999999999966</v>
      </c>
      <c r="AE11" s="138">
        <f t="shared" si="1"/>
        <v>2.841877912924895E-3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94.45</v>
      </c>
      <c r="Y12" s="10">
        <v>94.45</v>
      </c>
      <c r="Z12" s="10">
        <v>87.33</v>
      </c>
      <c r="AA12" s="10">
        <v>87.97</v>
      </c>
      <c r="AB12" s="95">
        <v>2751900</v>
      </c>
      <c r="AC12" s="10">
        <v>87.97</v>
      </c>
      <c r="AD12" s="2">
        <f t="shared" si="0"/>
        <v>7.1200000000000045</v>
      </c>
      <c r="AE12" s="138">
        <f t="shared" si="1"/>
        <v>-8.0100386907874022E-2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95.37</v>
      </c>
      <c r="Y13" s="10">
        <v>96.39</v>
      </c>
      <c r="Z13" s="10">
        <v>95.09</v>
      </c>
      <c r="AA13" s="10">
        <v>95.63</v>
      </c>
      <c r="AB13" s="95">
        <v>1050000</v>
      </c>
      <c r="AC13" s="10">
        <v>95.63</v>
      </c>
      <c r="AD13" s="2">
        <f t="shared" si="0"/>
        <v>1.2999999999999972</v>
      </c>
      <c r="AE13" s="138">
        <f t="shared" si="1"/>
        <v>7.2677480514009574E-3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94.79</v>
      </c>
      <c r="Y14" s="10">
        <v>95.92</v>
      </c>
      <c r="Z14" s="10">
        <v>93.97</v>
      </c>
      <c r="AA14" s="10">
        <v>94.94</v>
      </c>
      <c r="AB14" s="95">
        <v>1337700</v>
      </c>
      <c r="AC14" s="10">
        <v>94.94</v>
      </c>
      <c r="AD14" s="2">
        <f t="shared" si="0"/>
        <v>1.9500000000000028</v>
      </c>
      <c r="AE14" s="138">
        <f t="shared" si="1"/>
        <v>7.2140886908549362E-3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93.91</v>
      </c>
      <c r="Y15" s="10">
        <v>94.99</v>
      </c>
      <c r="Z15" s="10">
        <v>93.54</v>
      </c>
      <c r="AA15" s="10">
        <v>94.26</v>
      </c>
      <c r="AB15" s="95">
        <v>975300</v>
      </c>
      <c r="AC15" s="10">
        <v>94.26</v>
      </c>
      <c r="AD15" s="2">
        <f t="shared" si="0"/>
        <v>1.4499999999999886</v>
      </c>
      <c r="AE15" s="138">
        <f t="shared" si="1"/>
        <v>3.2996274614156551E-3</v>
      </c>
    </row>
    <row r="16" spans="1:40" x14ac:dyDescent="0.25">
      <c r="G16" s="1"/>
      <c r="H16" s="72"/>
      <c r="W16" s="133">
        <v>42733</v>
      </c>
      <c r="X16" s="10">
        <v>93.74</v>
      </c>
      <c r="Y16" s="10">
        <v>95.04</v>
      </c>
      <c r="Z16" s="10">
        <v>93.4</v>
      </c>
      <c r="AA16" s="10">
        <v>93.95</v>
      </c>
      <c r="AB16" s="95">
        <v>709400</v>
      </c>
      <c r="AC16" s="10">
        <v>93.95</v>
      </c>
      <c r="AD16" s="2">
        <f t="shared" si="0"/>
        <v>1.6400000000000006</v>
      </c>
      <c r="AE16" s="138">
        <f t="shared" si="1"/>
        <v>2.6680896478121774E-3</v>
      </c>
    </row>
    <row r="17" spans="1:31" x14ac:dyDescent="0.25">
      <c r="G17" s="1"/>
      <c r="H17" s="72"/>
      <c r="W17" s="133">
        <v>42732</v>
      </c>
      <c r="X17" s="10">
        <v>94.18</v>
      </c>
      <c r="Y17" s="10">
        <v>94.95</v>
      </c>
      <c r="Z17" s="10">
        <v>92.96</v>
      </c>
      <c r="AA17" s="10">
        <v>93.7</v>
      </c>
      <c r="AB17" s="95">
        <v>933000</v>
      </c>
      <c r="AC17" s="10">
        <v>93.7</v>
      </c>
      <c r="AD17" s="2">
        <f t="shared" si="0"/>
        <v>1.9900000000000091</v>
      </c>
      <c r="AE17" s="138">
        <f t="shared" si="1"/>
        <v>-1.0671219720403968E-4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42731</v>
      </c>
      <c r="X18" s="10">
        <v>93.14</v>
      </c>
      <c r="Y18" s="10">
        <v>95</v>
      </c>
      <c r="Z18" s="10">
        <v>93.14</v>
      </c>
      <c r="AA18" s="10">
        <v>93.71</v>
      </c>
      <c r="AB18" s="95">
        <v>1132400</v>
      </c>
      <c r="AC18" s="10">
        <v>93.71</v>
      </c>
      <c r="AD18" s="2">
        <f t="shared" si="0"/>
        <v>1.8599999999999994</v>
      </c>
      <c r="AE18" s="138">
        <f t="shared" si="1"/>
        <v>5.3642313056538882E-3</v>
      </c>
    </row>
    <row r="19" spans="1:31" ht="15.75" thickBot="1" x14ac:dyDescent="0.3">
      <c r="A19" s="356" t="s">
        <v>199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42727</v>
      </c>
      <c r="X19" s="10">
        <v>93.71</v>
      </c>
      <c r="Y19" s="10">
        <v>94.78</v>
      </c>
      <c r="Z19" s="10">
        <v>92.65</v>
      </c>
      <c r="AA19" s="10">
        <v>93.21</v>
      </c>
      <c r="AB19" s="95">
        <v>948000</v>
      </c>
      <c r="AC19" s="10">
        <v>93.21</v>
      </c>
      <c r="AD19" s="2">
        <f t="shared" si="0"/>
        <v>2.1299999999999955</v>
      </c>
      <c r="AE19" s="138">
        <f t="shared" si="1"/>
        <v>-2.0342612419701478E-3</v>
      </c>
    </row>
    <row r="20" spans="1:31" x14ac:dyDescent="0.25">
      <c r="W20" s="133">
        <v>42726</v>
      </c>
      <c r="X20" s="10">
        <v>94.28</v>
      </c>
      <c r="Y20" s="10">
        <v>95.45</v>
      </c>
      <c r="Z20" s="10">
        <v>93.21</v>
      </c>
      <c r="AA20" s="10">
        <v>93.4</v>
      </c>
      <c r="AB20" s="95">
        <v>1210700</v>
      </c>
      <c r="AC20" s="10">
        <v>93.4</v>
      </c>
      <c r="AD20" s="2">
        <f t="shared" si="0"/>
        <v>2.2400000000000091</v>
      </c>
      <c r="AE20" s="138">
        <f t="shared" si="1"/>
        <v>-1.4352047277332192E-2</v>
      </c>
    </row>
    <row r="21" spans="1:31" x14ac:dyDescent="0.25">
      <c r="W21" s="133">
        <v>42725</v>
      </c>
      <c r="X21" s="10">
        <v>95.05</v>
      </c>
      <c r="Y21" s="10">
        <v>95.61</v>
      </c>
      <c r="Z21" s="10">
        <v>94.06</v>
      </c>
      <c r="AA21" s="10">
        <v>94.76</v>
      </c>
      <c r="AB21" s="95">
        <v>679400</v>
      </c>
      <c r="AC21" s="10">
        <v>94.76</v>
      </c>
      <c r="AD21" s="2">
        <f t="shared" si="0"/>
        <v>1.5499999999999972</v>
      </c>
      <c r="AE21" s="138">
        <f t="shared" si="1"/>
        <v>-4.4126917419625711E-3</v>
      </c>
    </row>
    <row r="22" spans="1:31" x14ac:dyDescent="0.25">
      <c r="W22" s="133">
        <v>42724</v>
      </c>
      <c r="X22" s="10">
        <v>95</v>
      </c>
      <c r="Y22" s="10">
        <v>96.2</v>
      </c>
      <c r="Z22" s="10">
        <v>94.47</v>
      </c>
      <c r="AA22" s="10">
        <v>95.18</v>
      </c>
      <c r="AB22" s="95">
        <v>596000</v>
      </c>
      <c r="AC22" s="10">
        <v>95.18</v>
      </c>
      <c r="AD22" s="2">
        <f t="shared" si="0"/>
        <v>1.730000000000004</v>
      </c>
      <c r="AE22" s="138">
        <f t="shared" si="1"/>
        <v>8.1559156868977745E-3</v>
      </c>
    </row>
    <row r="23" spans="1:31" x14ac:dyDescent="0.25">
      <c r="W23" s="133">
        <v>42723</v>
      </c>
      <c r="X23" s="10">
        <v>94</v>
      </c>
      <c r="Y23" s="10">
        <v>95.81</v>
      </c>
      <c r="Z23" s="10">
        <v>94</v>
      </c>
      <c r="AA23" s="10">
        <v>94.41</v>
      </c>
      <c r="AB23" s="95">
        <v>836500</v>
      </c>
      <c r="AC23" s="10">
        <v>94.41</v>
      </c>
      <c r="AD23" s="2">
        <f t="shared" si="0"/>
        <v>1.8100000000000023</v>
      </c>
      <c r="AE23" s="138">
        <f t="shared" si="1"/>
        <v>3.6143297544382058E-3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156</v>
      </c>
      <c r="W24" s="133">
        <v>42720</v>
      </c>
      <c r="X24" s="10">
        <v>94.97</v>
      </c>
      <c r="Y24" s="10">
        <v>95.87</v>
      </c>
      <c r="Z24" s="10">
        <v>93.25</v>
      </c>
      <c r="AA24" s="10">
        <v>94.07</v>
      </c>
      <c r="AB24" s="95">
        <v>2635300</v>
      </c>
      <c r="AC24" s="10">
        <v>94.07</v>
      </c>
      <c r="AD24" s="2">
        <f t="shared" si="0"/>
        <v>2.6200000000000045</v>
      </c>
      <c r="AE24" s="138">
        <f t="shared" si="1"/>
        <v>-9.9978951799621907E-3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42719</v>
      </c>
      <c r="X25" s="10">
        <v>95.31</v>
      </c>
      <c r="Y25" s="10">
        <v>96.75</v>
      </c>
      <c r="Z25" s="10">
        <v>94.82</v>
      </c>
      <c r="AA25" s="10">
        <v>95.02</v>
      </c>
      <c r="AB25" s="95">
        <v>844500</v>
      </c>
      <c r="AC25" s="10">
        <v>95.02</v>
      </c>
      <c r="AD25" s="2">
        <f t="shared" si="0"/>
        <v>1.9300000000000068</v>
      </c>
      <c r="AE25" s="138">
        <f t="shared" si="1"/>
        <v>5.2648204696215117E-4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42718</v>
      </c>
      <c r="X26" s="10">
        <v>96.58</v>
      </c>
      <c r="Y26" s="10">
        <v>96.87</v>
      </c>
      <c r="Z26" s="10">
        <v>94.4</v>
      </c>
      <c r="AA26" s="10">
        <v>94.97</v>
      </c>
      <c r="AB26" s="95">
        <v>955300</v>
      </c>
      <c r="AC26" s="10">
        <v>94.97</v>
      </c>
      <c r="AD26" s="2">
        <f t="shared" si="0"/>
        <v>2.4699999999999989</v>
      </c>
      <c r="AE26" s="138">
        <f t="shared" si="1"/>
        <v>-1.2477903712176386E-2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42717</v>
      </c>
      <c r="X27" s="10">
        <v>96.47</v>
      </c>
      <c r="Y27" s="10">
        <v>97.04</v>
      </c>
      <c r="Z27" s="10">
        <v>94.33</v>
      </c>
      <c r="AA27" s="10">
        <v>96.17</v>
      </c>
      <c r="AB27" s="95">
        <v>895400</v>
      </c>
      <c r="AC27" s="10">
        <v>96.17</v>
      </c>
      <c r="AD27" s="2">
        <f t="shared" si="0"/>
        <v>2.710000000000008</v>
      </c>
      <c r="AE27" s="138">
        <f t="shared" si="1"/>
        <v>-2.2823944392571516E-3</v>
      </c>
    </row>
    <row r="28" spans="1:31" x14ac:dyDescent="0.25">
      <c r="A28" t="s">
        <v>617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42716</v>
      </c>
      <c r="X28" s="10">
        <v>98.49</v>
      </c>
      <c r="Y28" s="10">
        <v>98.72</v>
      </c>
      <c r="Z28" s="10">
        <v>96.22</v>
      </c>
      <c r="AA28" s="10">
        <v>96.39</v>
      </c>
      <c r="AB28" s="95">
        <v>955400</v>
      </c>
      <c r="AC28" s="10">
        <v>96.39</v>
      </c>
      <c r="AD28" s="2">
        <f t="shared" si="0"/>
        <v>2.5</v>
      </c>
      <c r="AE28" s="138">
        <f t="shared" si="1"/>
        <v>-2.3602106969205838E-2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42713</v>
      </c>
      <c r="X29" s="10">
        <v>97.7</v>
      </c>
      <c r="Y29" s="10">
        <v>98.88</v>
      </c>
      <c r="Z29" s="10">
        <v>96.34</v>
      </c>
      <c r="AA29" s="10">
        <v>98.72</v>
      </c>
      <c r="AB29" s="95">
        <v>1782000</v>
      </c>
      <c r="AC29" s="10">
        <v>98.72</v>
      </c>
      <c r="AD29" s="2">
        <f t="shared" si="0"/>
        <v>2.539999999999992</v>
      </c>
      <c r="AE29" s="138">
        <f t="shared" si="1"/>
        <v>6.8332483426822854E-3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42712</v>
      </c>
      <c r="X30" s="10">
        <v>95</v>
      </c>
      <c r="Y30" s="10">
        <v>99.19</v>
      </c>
      <c r="Z30" s="10">
        <v>94.2</v>
      </c>
      <c r="AA30" s="10">
        <v>98.05</v>
      </c>
      <c r="AB30" s="95">
        <v>1529900</v>
      </c>
      <c r="AC30" s="10">
        <v>98.05</v>
      </c>
      <c r="AD30" s="2">
        <f t="shared" si="0"/>
        <v>4.9899999999999949</v>
      </c>
      <c r="AE30" s="138">
        <f t="shared" si="1"/>
        <v>2.896421450309572E-2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42711</v>
      </c>
      <c r="X31" s="10">
        <v>94.5</v>
      </c>
      <c r="Y31" s="10">
        <v>95.55</v>
      </c>
      <c r="Z31" s="10">
        <v>93.56</v>
      </c>
      <c r="AA31" s="10">
        <v>95.29</v>
      </c>
      <c r="AB31" s="95">
        <v>1252000</v>
      </c>
      <c r="AC31" s="10">
        <v>95.29</v>
      </c>
      <c r="AD31" s="2">
        <f t="shared" si="0"/>
        <v>1.9899999999999949</v>
      </c>
      <c r="AE31" s="138">
        <f t="shared" si="1"/>
        <v>1.393913598638008E-2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42710</v>
      </c>
      <c r="X32" s="10">
        <v>92.25</v>
      </c>
      <c r="Y32" s="10">
        <v>94.22</v>
      </c>
      <c r="Z32" s="10">
        <v>92.25</v>
      </c>
      <c r="AA32" s="10">
        <v>93.98</v>
      </c>
      <c r="AB32" s="95">
        <v>1868100</v>
      </c>
      <c r="AC32" s="10">
        <v>93.98</v>
      </c>
      <c r="AD32" s="2">
        <f t="shared" si="0"/>
        <v>1.9699999999999989</v>
      </c>
      <c r="AE32" s="138">
        <f t="shared" si="1"/>
        <v>3.6309269542931233E-3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42709</v>
      </c>
      <c r="X33" s="10">
        <v>92.7</v>
      </c>
      <c r="Y33" s="10">
        <v>94.13</v>
      </c>
      <c r="Z33" s="10">
        <v>92.1</v>
      </c>
      <c r="AA33" s="10">
        <v>93.64</v>
      </c>
      <c r="AB33" s="95">
        <v>1596800</v>
      </c>
      <c r="AC33" s="10">
        <v>93.64</v>
      </c>
      <c r="AD33" s="2">
        <f t="shared" si="0"/>
        <v>2.0300000000000011</v>
      </c>
      <c r="AE33" s="138">
        <f t="shared" si="1"/>
        <v>1.7052242858694555E-2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42706</v>
      </c>
      <c r="X34" s="10">
        <v>91.62</v>
      </c>
      <c r="Y34" s="10">
        <v>92.98</v>
      </c>
      <c r="Z34" s="10">
        <v>90.83</v>
      </c>
      <c r="AA34" s="10">
        <v>92.07</v>
      </c>
      <c r="AB34" s="95">
        <v>1459000</v>
      </c>
      <c r="AC34" s="10">
        <v>92.07</v>
      </c>
      <c r="AD34" s="2">
        <f t="shared" si="0"/>
        <v>2.1500000000000057</v>
      </c>
      <c r="AE34" s="138">
        <f t="shared" si="1"/>
        <v>8.9863013698630034E-3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42705</v>
      </c>
      <c r="X35" s="10">
        <v>91.83</v>
      </c>
      <c r="Y35" s="10">
        <v>93.09</v>
      </c>
      <c r="Z35" s="10">
        <v>91.07</v>
      </c>
      <c r="AA35" s="10">
        <v>91.25</v>
      </c>
      <c r="AB35" s="95">
        <v>1237200</v>
      </c>
      <c r="AC35" s="10">
        <v>91.25</v>
      </c>
      <c r="AD35" s="2">
        <f t="shared" si="0"/>
        <v>2.0200000000000102</v>
      </c>
      <c r="AE35" s="138">
        <f t="shared" si="1"/>
        <v>-4.3816409245267529E-4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42704</v>
      </c>
      <c r="X36" s="10">
        <v>91.66</v>
      </c>
      <c r="Y36" s="10">
        <v>93.63</v>
      </c>
      <c r="Z36" s="10">
        <v>90.67</v>
      </c>
      <c r="AA36" s="10">
        <v>91.29</v>
      </c>
      <c r="AB36" s="95">
        <v>1337600</v>
      </c>
      <c r="AC36" s="10">
        <v>91.29</v>
      </c>
      <c r="AD36" s="2">
        <f t="shared" si="0"/>
        <v>2.9599999999999937</v>
      </c>
      <c r="AE36" s="138">
        <f t="shared" si="1"/>
        <v>-5.7721629274666286E-3</v>
      </c>
    </row>
    <row r="37" spans="2:31" x14ac:dyDescent="0.25">
      <c r="W37" s="133">
        <v>42703</v>
      </c>
      <c r="X37" s="10">
        <v>92.97</v>
      </c>
      <c r="Y37" s="10">
        <v>94</v>
      </c>
      <c r="Z37" s="10">
        <v>91.57</v>
      </c>
      <c r="AA37" s="10">
        <v>91.82</v>
      </c>
      <c r="AB37" s="95">
        <v>1398000</v>
      </c>
      <c r="AC37" s="10">
        <v>91.82</v>
      </c>
      <c r="AD37" s="2">
        <f t="shared" si="0"/>
        <v>2.4300000000000068</v>
      </c>
      <c r="AE37" s="138">
        <f t="shared" si="1"/>
        <v>-4.5533391153512737E-3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5">C38*(E38-D38)</f>
        <v>15.999999999999943</v>
      </c>
      <c r="G38" s="382">
        <f t="shared" ref="G38:G46" si="16">D38*C38</f>
        <v>1924</v>
      </c>
      <c r="H38" s="383">
        <f t="shared" ref="H38:H46" si="17">(E38-D38)/D38</f>
        <v>8.316008316008287E-3</v>
      </c>
      <c r="I38" s="383"/>
      <c r="W38" s="133">
        <v>42702</v>
      </c>
      <c r="X38" s="10">
        <v>92.93</v>
      </c>
      <c r="Y38" s="10">
        <v>94.49</v>
      </c>
      <c r="Z38" s="10">
        <v>92</v>
      </c>
      <c r="AA38" s="10">
        <v>92.24</v>
      </c>
      <c r="AB38" s="95">
        <v>1149100</v>
      </c>
      <c r="AC38" s="10">
        <v>92.24</v>
      </c>
      <c r="AD38" s="2">
        <f t="shared" si="0"/>
        <v>2.4899999999999949</v>
      </c>
      <c r="AE38" s="138">
        <f t="shared" si="1"/>
        <v>-8.9180186956054897E-3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5"/>
        <v>50.600000000000023</v>
      </c>
      <c r="G39" s="382">
        <f t="shared" si="16"/>
        <v>1924</v>
      </c>
      <c r="H39" s="383">
        <f t="shared" si="17"/>
        <v>2.6299376299376311E-2</v>
      </c>
      <c r="I39" s="383"/>
      <c r="T39" s="112" t="s">
        <v>113</v>
      </c>
      <c r="U39" s="9"/>
      <c r="W39" s="133">
        <v>42699</v>
      </c>
      <c r="X39" s="10">
        <v>94.29</v>
      </c>
      <c r="Y39" s="10">
        <v>94.93</v>
      </c>
      <c r="Z39" s="10">
        <v>92.53</v>
      </c>
      <c r="AA39" s="10">
        <v>93.07</v>
      </c>
      <c r="AB39" s="95">
        <v>490000</v>
      </c>
      <c r="AC39" s="10">
        <v>93.07</v>
      </c>
      <c r="AD39" s="2">
        <f t="shared" si="0"/>
        <v>2.4000000000000057</v>
      </c>
      <c r="AE39" s="138">
        <f t="shared" si="1"/>
        <v>-8.4167909652674844E-3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5"/>
        <v>-176.20199999999988</v>
      </c>
      <c r="G40" s="382">
        <f t="shared" si="16"/>
        <v>4063.752</v>
      </c>
      <c r="H40" s="383">
        <f t="shared" si="17"/>
        <v>-4.3359437288495929E-2</v>
      </c>
      <c r="I40" s="384"/>
      <c r="T40" s="139" t="s">
        <v>98</v>
      </c>
      <c r="U40" s="367">
        <v>80.77</v>
      </c>
      <c r="W40" s="133">
        <v>42697</v>
      </c>
      <c r="X40" s="10">
        <v>90.91</v>
      </c>
      <c r="Y40" s="10">
        <v>94.13</v>
      </c>
      <c r="Z40" s="10">
        <v>90.19</v>
      </c>
      <c r="AA40" s="10">
        <v>93.86</v>
      </c>
      <c r="AB40" s="95">
        <v>1353200</v>
      </c>
      <c r="AC40" s="10">
        <v>93.86</v>
      </c>
      <c r="AD40" s="2">
        <f t="shared" si="0"/>
        <v>3.9399999999999977</v>
      </c>
      <c r="AE40" s="138">
        <f t="shared" si="1"/>
        <v>3.3814296728714499E-2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5"/>
        <v>-51.239999999999952</v>
      </c>
      <c r="G41" s="382">
        <f t="shared" si="16"/>
        <v>2283.9899999999998</v>
      </c>
      <c r="H41" s="383">
        <f t="shared" si="17"/>
        <v>-2.2434423968581276E-2</v>
      </c>
      <c r="I41" s="383"/>
      <c r="T41" s="108" t="s">
        <v>99</v>
      </c>
      <c r="U41" s="368">
        <v>81.05</v>
      </c>
      <c r="W41" s="133">
        <v>42696</v>
      </c>
      <c r="X41" s="10">
        <v>98.97</v>
      </c>
      <c r="Y41" s="10">
        <v>101.46</v>
      </c>
      <c r="Z41" s="10">
        <v>89.86</v>
      </c>
      <c r="AA41" s="10">
        <v>90.79</v>
      </c>
      <c r="AB41" s="95">
        <v>5864700</v>
      </c>
      <c r="AC41" s="10">
        <v>90.79</v>
      </c>
      <c r="AD41" s="2">
        <f t="shared" si="0"/>
        <v>11.599999999999994</v>
      </c>
      <c r="AE41" s="138">
        <f t="shared" si="1"/>
        <v>2.1489648964896579E-2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5"/>
        <v>-146.2399999999999</v>
      </c>
      <c r="G42" s="382">
        <f t="shared" si="16"/>
        <v>2283.9899999999998</v>
      </c>
      <c r="H42" s="383">
        <f t="shared" si="17"/>
        <v>-6.402830134983073E-2</v>
      </c>
      <c r="I42" s="383"/>
      <c r="O42" s="632" t="s">
        <v>78</v>
      </c>
      <c r="P42" s="632"/>
      <c r="T42" s="108" t="s">
        <v>100</v>
      </c>
      <c r="U42" s="368" t="s">
        <v>129</v>
      </c>
      <c r="W42" s="133">
        <v>42695</v>
      </c>
      <c r="X42" s="10">
        <v>89.23</v>
      </c>
      <c r="Y42" s="10">
        <v>89.56</v>
      </c>
      <c r="Z42" s="10">
        <v>86.74</v>
      </c>
      <c r="AA42" s="10">
        <v>88.88</v>
      </c>
      <c r="AB42" s="95">
        <v>2560900</v>
      </c>
      <c r="AC42" s="10">
        <v>88.88</v>
      </c>
      <c r="AD42" s="2">
        <f t="shared" si="0"/>
        <v>2.8200000000000074</v>
      </c>
      <c r="AE42" s="138">
        <f t="shared" si="1"/>
        <v>-8.9928057553956275E-4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5"/>
        <v>-159.23999999999978</v>
      </c>
      <c r="G43" s="382">
        <f t="shared" si="16"/>
        <v>4352.74</v>
      </c>
      <c r="H43" s="383">
        <f t="shared" si="17"/>
        <v>-3.6583852929419118E-2</v>
      </c>
      <c r="I43" s="383"/>
      <c r="O43" s="83">
        <v>1.1000000000000001</v>
      </c>
      <c r="P43" s="83">
        <f>O43*$Q$4</f>
        <v>88.792000000000002</v>
      </c>
      <c r="Q43" s="2"/>
      <c r="T43" s="108" t="s">
        <v>101</v>
      </c>
      <c r="U43" s="368" t="s">
        <v>129</v>
      </c>
      <c r="W43" s="133">
        <v>42692</v>
      </c>
      <c r="X43" s="10">
        <v>91.37</v>
      </c>
      <c r="Y43" s="10">
        <v>91.37</v>
      </c>
      <c r="Z43" s="10">
        <v>87.68</v>
      </c>
      <c r="AA43" s="10">
        <v>88.96</v>
      </c>
      <c r="AB43" s="95">
        <v>1787700</v>
      </c>
      <c r="AC43" s="10">
        <v>88.96</v>
      </c>
      <c r="AD43" s="2">
        <f t="shared" si="0"/>
        <v>3.6899999999999977</v>
      </c>
      <c r="AE43" s="138">
        <f t="shared" si="1"/>
        <v>-3.4303082935301932E-2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5"/>
        <v>-37.790000000000035</v>
      </c>
      <c r="G44" s="382">
        <f t="shared" si="16"/>
        <v>2188.04</v>
      </c>
      <c r="H44" s="383">
        <f t="shared" si="17"/>
        <v>-1.7271165060967823E-2</v>
      </c>
      <c r="I44" s="383"/>
      <c r="O44" s="83">
        <v>1.0900000000000001</v>
      </c>
      <c r="P44" s="83">
        <f t="shared" ref="P44:P63" si="18">O44*$Q$4</f>
        <v>87.984800000000007</v>
      </c>
      <c r="Q44" s="2"/>
      <c r="T44" s="108" t="s">
        <v>102</v>
      </c>
      <c r="U44" s="368">
        <v>108.07</v>
      </c>
      <c r="W44" s="133">
        <v>42691</v>
      </c>
      <c r="X44" s="10">
        <v>91.13</v>
      </c>
      <c r="Y44" s="10">
        <v>92.28</v>
      </c>
      <c r="Z44" s="10">
        <v>90.47</v>
      </c>
      <c r="AA44" s="10">
        <v>92.12</v>
      </c>
      <c r="AB44" s="95">
        <v>1576500</v>
      </c>
      <c r="AC44" s="10">
        <v>92.12</v>
      </c>
      <c r="AD44" s="2">
        <f t="shared" si="0"/>
        <v>1.8100000000000023</v>
      </c>
      <c r="AE44" s="138">
        <f t="shared" si="1"/>
        <v>1.3979086406164187E-2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5"/>
        <v>-137.54000000000025</v>
      </c>
      <c r="G45" s="382">
        <f t="shared" si="16"/>
        <v>2188.04</v>
      </c>
      <c r="H45" s="383">
        <f t="shared" si="17"/>
        <v>-6.285991115336112E-2</v>
      </c>
      <c r="I45" s="383"/>
      <c r="O45" s="83">
        <v>1.08</v>
      </c>
      <c r="P45" s="83">
        <f t="shared" si="18"/>
        <v>87.177599999999998</v>
      </c>
      <c r="Q45" s="2"/>
      <c r="T45" s="108" t="s">
        <v>103</v>
      </c>
      <c r="U45" s="368">
        <v>1.07236</v>
      </c>
      <c r="W45" s="133">
        <v>42690</v>
      </c>
      <c r="X45" s="10">
        <v>89.1</v>
      </c>
      <c r="Y45" s="10">
        <v>91.64</v>
      </c>
      <c r="Z45" s="10">
        <v>88.39</v>
      </c>
      <c r="AA45" s="10">
        <v>90.85</v>
      </c>
      <c r="AB45" s="95">
        <v>1192600</v>
      </c>
      <c r="AC45" s="10">
        <v>90.85</v>
      </c>
      <c r="AD45" s="2">
        <f t="shared" si="0"/>
        <v>3.25</v>
      </c>
      <c r="AE45" s="138">
        <f t="shared" si="1"/>
        <v>1.3950892857142794E-2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5"/>
        <v>-167.54249999999934</v>
      </c>
      <c r="G46" s="382">
        <f t="shared" si="16"/>
        <v>6112.0424999999996</v>
      </c>
      <c r="H46" s="383">
        <f t="shared" si="17"/>
        <v>-2.7411867636718715E-2</v>
      </c>
      <c r="I46" s="383"/>
      <c r="O46" s="83">
        <v>1.07</v>
      </c>
      <c r="P46" s="83">
        <f t="shared" si="18"/>
        <v>86.370400000000004</v>
      </c>
      <c r="Q46" s="2"/>
      <c r="T46" s="108" t="s">
        <v>104</v>
      </c>
      <c r="U46" s="368" t="s">
        <v>406</v>
      </c>
      <c r="W46" s="133">
        <v>42689</v>
      </c>
      <c r="X46" s="10">
        <v>93.25</v>
      </c>
      <c r="Y46" s="10">
        <v>94.44</v>
      </c>
      <c r="Z46" s="10">
        <v>88</v>
      </c>
      <c r="AA46" s="10">
        <v>89.6</v>
      </c>
      <c r="AB46" s="95">
        <v>3213100</v>
      </c>
      <c r="AC46" s="10">
        <v>89.6</v>
      </c>
      <c r="AD46" s="2">
        <f t="shared" si="0"/>
        <v>6.4399999999999977</v>
      </c>
      <c r="AE46" s="138">
        <f t="shared" si="1"/>
        <v>-3.0722630895716141E-2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9">C47*(E47-D47)</f>
        <v>-58.042499999999819</v>
      </c>
      <c r="G47" s="382">
        <f t="shared" ref="G47:G48" si="20">D47*C47</f>
        <v>6112.0424999999996</v>
      </c>
      <c r="H47" s="383">
        <f t="shared" ref="H47:H48" si="21">(E47-D47)/D47</f>
        <v>-9.4964162961890114E-3</v>
      </c>
      <c r="I47" s="383"/>
      <c r="O47" s="83">
        <v>1.06</v>
      </c>
      <c r="P47" s="83">
        <f t="shared" si="18"/>
        <v>85.563200000000009</v>
      </c>
      <c r="Q47" s="2"/>
      <c r="T47" s="108"/>
      <c r="U47" s="368"/>
      <c r="W47" s="133">
        <v>42688</v>
      </c>
      <c r="X47" s="10">
        <v>90.87</v>
      </c>
      <c r="Y47" s="10">
        <v>93.16</v>
      </c>
      <c r="Z47" s="10">
        <v>90.32</v>
      </c>
      <c r="AA47" s="10">
        <v>92.44</v>
      </c>
      <c r="AB47" s="95">
        <v>1568700</v>
      </c>
      <c r="AC47" s="10">
        <v>92.44</v>
      </c>
      <c r="AD47" s="2">
        <f t="shared" si="0"/>
        <v>2.8400000000000034</v>
      </c>
      <c r="AE47" s="138">
        <f t="shared" si="1"/>
        <v>2.5743453173546316E-2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9"/>
        <v>195.77249999999998</v>
      </c>
      <c r="G48" s="382">
        <f t="shared" si="20"/>
        <v>4432.4775</v>
      </c>
      <c r="H48" s="383">
        <f t="shared" si="21"/>
        <v>4.4167736892065435E-2</v>
      </c>
      <c r="I48" s="383"/>
      <c r="O48" s="83">
        <v>1.05</v>
      </c>
      <c r="P48" s="83">
        <f t="shared" si="18"/>
        <v>84.756</v>
      </c>
      <c r="Q48" s="2"/>
      <c r="T48" s="108" t="s">
        <v>105</v>
      </c>
      <c r="U48" s="368" t="s">
        <v>473</v>
      </c>
      <c r="W48" s="133">
        <v>42685</v>
      </c>
      <c r="X48" s="10">
        <v>89.76</v>
      </c>
      <c r="Y48" s="10">
        <v>90.66</v>
      </c>
      <c r="Z48" s="10">
        <v>89.23</v>
      </c>
      <c r="AA48" s="10">
        <v>90.12</v>
      </c>
      <c r="AB48" s="95">
        <v>1206900</v>
      </c>
      <c r="AC48" s="10">
        <v>90.12</v>
      </c>
      <c r="AD48" s="2">
        <f t="shared" si="0"/>
        <v>1.4299999999999926</v>
      </c>
      <c r="AE48" s="138">
        <f t="shared" si="1"/>
        <v>3.6752422318744316E-3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2">C49*(E49-D49)</f>
        <v>38.472500000000025</v>
      </c>
      <c r="G49" s="382">
        <f t="shared" ref="G49" si="23">D49*C49</f>
        <v>4432.4775</v>
      </c>
      <c r="H49" s="383">
        <f t="shared" ref="H49" si="24">(E49-D49)/D49</f>
        <v>8.6796830891978632E-3</v>
      </c>
      <c r="I49" s="383"/>
      <c r="O49" s="83">
        <v>1.04</v>
      </c>
      <c r="P49" s="83">
        <f t="shared" si="18"/>
        <v>83.948800000000006</v>
      </c>
      <c r="Q49" s="2"/>
      <c r="T49" s="108" t="s">
        <v>106</v>
      </c>
      <c r="U49" s="368" t="s">
        <v>431</v>
      </c>
      <c r="W49" s="133">
        <v>42684</v>
      </c>
      <c r="X49" s="10">
        <v>87.43</v>
      </c>
      <c r="Y49" s="10">
        <v>91.03</v>
      </c>
      <c r="Z49" s="10">
        <v>87.17</v>
      </c>
      <c r="AA49" s="10">
        <v>89.79</v>
      </c>
      <c r="AB49" s="95">
        <v>1545000</v>
      </c>
      <c r="AC49" s="10">
        <v>89.79</v>
      </c>
      <c r="AD49" s="2">
        <f t="shared" si="0"/>
        <v>3.8599999999999994</v>
      </c>
      <c r="AE49" s="138">
        <f t="shared" si="1"/>
        <v>3.5043227665706222E-2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5">C50*(E50-D50)</f>
        <v>466.37249999999932</v>
      </c>
      <c r="G50" s="382">
        <f t="shared" ref="G50" si="26">D50*C50</f>
        <v>4432.4775</v>
      </c>
      <c r="H50" s="383">
        <f t="shared" ref="H50" si="27">(E50-D50)/D50</f>
        <v>0.10521711616133399</v>
      </c>
      <c r="I50" s="383"/>
      <c r="O50" s="83">
        <v>1.03</v>
      </c>
      <c r="P50" s="83">
        <f t="shared" si="18"/>
        <v>83.141599999999997</v>
      </c>
      <c r="Q50" s="2"/>
      <c r="T50" s="108" t="s">
        <v>107</v>
      </c>
      <c r="U50" s="369">
        <v>840776</v>
      </c>
      <c r="W50" s="133">
        <v>42683</v>
      </c>
      <c r="X50" s="10">
        <v>81.36</v>
      </c>
      <c r="Y50" s="10">
        <v>86.9</v>
      </c>
      <c r="Z50" s="10">
        <v>81.209999999999994</v>
      </c>
      <c r="AA50" s="10">
        <v>86.75</v>
      </c>
      <c r="AB50" s="95">
        <v>1513300</v>
      </c>
      <c r="AC50" s="10">
        <v>86.75</v>
      </c>
      <c r="AD50" s="2">
        <f t="shared" si="0"/>
        <v>5.6900000000000119</v>
      </c>
      <c r="AE50" s="138">
        <f t="shared" si="1"/>
        <v>4.6820320984674701E-2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8">C51*(E51-D51)</f>
        <v>536.22249999999985</v>
      </c>
      <c r="G51" s="382">
        <f t="shared" ref="G51:G52" si="29">D51*C51</f>
        <v>4432.4775</v>
      </c>
      <c r="H51" s="383">
        <f t="shared" ref="H51:H52" si="30">(E51-D51)/D51</f>
        <v>0.12097579739547462</v>
      </c>
      <c r="I51" s="383"/>
      <c r="O51" s="83">
        <v>1.02</v>
      </c>
      <c r="P51" s="83">
        <f t="shared" si="18"/>
        <v>82.334400000000002</v>
      </c>
      <c r="Q51" s="2"/>
      <c r="T51" s="108" t="s">
        <v>110</v>
      </c>
      <c r="U51" s="369">
        <v>1453060</v>
      </c>
      <c r="W51" s="133">
        <v>42682</v>
      </c>
      <c r="X51" s="10">
        <v>83.62</v>
      </c>
      <c r="Y51" s="10">
        <v>83.96</v>
      </c>
      <c r="Z51" s="10">
        <v>82.21</v>
      </c>
      <c r="AA51" s="10">
        <v>82.87</v>
      </c>
      <c r="AB51" s="95">
        <v>783500</v>
      </c>
      <c r="AC51" s="10">
        <v>82.87</v>
      </c>
      <c r="AD51" s="2">
        <f t="shared" si="0"/>
        <v>1.75</v>
      </c>
      <c r="AE51" s="138">
        <f t="shared" si="1"/>
        <v>-9.0876479732152626E-3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8"/>
        <v>640.51000000000045</v>
      </c>
      <c r="G52" s="382">
        <f t="shared" si="29"/>
        <v>3972.49</v>
      </c>
      <c r="H52" s="383">
        <f t="shared" si="30"/>
        <v>0.16123640336413697</v>
      </c>
      <c r="I52" s="383"/>
      <c r="O52" s="83">
        <v>1.01</v>
      </c>
      <c r="P52" s="83">
        <f t="shared" si="18"/>
        <v>81.527199999999993</v>
      </c>
      <c r="Q52" s="2"/>
      <c r="T52" s="108" t="s">
        <v>108</v>
      </c>
      <c r="U52" s="368" t="s">
        <v>439</v>
      </c>
      <c r="W52" s="133">
        <v>42681</v>
      </c>
      <c r="X52" s="10">
        <v>82.41</v>
      </c>
      <c r="Y52" s="10">
        <v>84.73</v>
      </c>
      <c r="Z52" s="10">
        <v>82.4</v>
      </c>
      <c r="AA52" s="10">
        <v>83.63</v>
      </c>
      <c r="AB52" s="95">
        <v>984700</v>
      </c>
      <c r="AC52" s="10">
        <v>83.63</v>
      </c>
      <c r="AD52" s="2">
        <f t="shared" si="0"/>
        <v>2.3299999999999983</v>
      </c>
      <c r="AE52" s="138">
        <f t="shared" si="1"/>
        <v>2.7521808575992068E-2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1">C53*(E53-D53)</f>
        <v>547.01000000000022</v>
      </c>
      <c r="G53" s="382">
        <f t="shared" ref="G53" si="32">D53*C53</f>
        <v>3972.49</v>
      </c>
      <c r="H53" s="383">
        <f t="shared" ref="H53" si="33">(E53-D53)/D53</f>
        <v>0.13769952850730907</v>
      </c>
      <c r="I53" s="383"/>
      <c r="O53" s="83">
        <v>1</v>
      </c>
      <c r="P53" s="83">
        <f t="shared" si="18"/>
        <v>80.72</v>
      </c>
      <c r="Q53" s="2"/>
      <c r="T53" s="108" t="s">
        <v>111</v>
      </c>
      <c r="U53" s="368">
        <v>12.08</v>
      </c>
      <c r="W53" s="133">
        <v>42678</v>
      </c>
      <c r="X53" s="10">
        <v>80.8</v>
      </c>
      <c r="Y53" s="10">
        <v>83.04</v>
      </c>
      <c r="Z53" s="10">
        <v>80.62</v>
      </c>
      <c r="AA53" s="10">
        <v>81.39</v>
      </c>
      <c r="AB53" s="95">
        <v>1055000</v>
      </c>
      <c r="AC53" s="10">
        <v>81.39</v>
      </c>
      <c r="AD53" s="2">
        <f t="shared" si="0"/>
        <v>2.4200000000000017</v>
      </c>
      <c r="AE53" s="138">
        <f t="shared" si="1"/>
        <v>7.5513741025006187E-3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4">C54*(E54-D54)</f>
        <v>505.01000000000005</v>
      </c>
      <c r="G54" s="382">
        <f t="shared" ref="G54" si="35">D54*C54</f>
        <v>3972.49</v>
      </c>
      <c r="H54" s="383">
        <f t="shared" ref="H54" si="36">(E54-D54)/D54</f>
        <v>0.12712681466787834</v>
      </c>
      <c r="I54" s="383"/>
      <c r="O54" s="83">
        <v>0.99</v>
      </c>
      <c r="P54" s="83">
        <f t="shared" si="18"/>
        <v>79.912800000000004</v>
      </c>
      <c r="Q54" s="2"/>
      <c r="T54" s="108" t="s">
        <v>112</v>
      </c>
      <c r="U54" s="368">
        <v>6.68</v>
      </c>
      <c r="W54" s="133">
        <v>42677</v>
      </c>
      <c r="X54" s="10">
        <v>80.59</v>
      </c>
      <c r="Y54" s="10">
        <v>82.39</v>
      </c>
      <c r="Z54" s="10">
        <v>79.92</v>
      </c>
      <c r="AA54" s="10">
        <v>80.78</v>
      </c>
      <c r="AB54" s="95">
        <v>1399100</v>
      </c>
      <c r="AC54" s="10">
        <v>80.78</v>
      </c>
      <c r="AD54" s="2">
        <f t="shared" si="0"/>
        <v>2.4699999999999989</v>
      </c>
      <c r="AE54" s="138">
        <f t="shared" si="1"/>
        <v>7.2319201995012516E-3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7">C55*(E55-D55)</f>
        <v>400.50999999999988</v>
      </c>
      <c r="G55" s="382">
        <f t="shared" ref="G55" si="38">D55*C55</f>
        <v>3972.49</v>
      </c>
      <c r="H55" s="383">
        <f t="shared" ref="H55" si="39">(E55-D55)/D55</f>
        <v>0.1008208957102472</v>
      </c>
      <c r="I55" s="383"/>
      <c r="O55" s="83">
        <v>0.98</v>
      </c>
      <c r="P55" s="83">
        <f t="shared" si="18"/>
        <v>79.105599999999995</v>
      </c>
      <c r="Q55" s="2"/>
      <c r="T55" s="108" t="s">
        <v>109</v>
      </c>
      <c r="U55" s="368" t="s">
        <v>625</v>
      </c>
      <c r="W55" s="133">
        <v>42676</v>
      </c>
      <c r="X55" s="10">
        <v>80.459999999999994</v>
      </c>
      <c r="Y55" s="10">
        <v>81.12</v>
      </c>
      <c r="Z55" s="10">
        <v>79.47</v>
      </c>
      <c r="AA55" s="10">
        <v>80.2</v>
      </c>
      <c r="AB55" s="95">
        <v>1147100</v>
      </c>
      <c r="AC55" s="10">
        <v>80.2</v>
      </c>
      <c r="AD55" s="2">
        <f t="shared" si="0"/>
        <v>1.6500000000000057</v>
      </c>
      <c r="AE55" s="138">
        <f t="shared" si="1"/>
        <v>-6.4420218037660737E-3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0">C56*(E56-D56)</f>
        <v>504.01000000000022</v>
      </c>
      <c r="G56" s="382">
        <f t="shared" ref="G56" si="41">D56*C56</f>
        <v>3972.49</v>
      </c>
      <c r="H56" s="383">
        <f t="shared" ref="H56" si="42">(E56-D56)/D56</f>
        <v>0.12687508338598719</v>
      </c>
      <c r="I56" s="383"/>
      <c r="O56" s="83">
        <v>0.97</v>
      </c>
      <c r="P56" s="83">
        <f t="shared" si="18"/>
        <v>78.298400000000001</v>
      </c>
      <c r="W56" s="133">
        <v>42675</v>
      </c>
      <c r="X56" s="10">
        <v>81.17</v>
      </c>
      <c r="Y56" s="10">
        <v>81.790000000000006</v>
      </c>
      <c r="Z56" s="10">
        <v>79.91</v>
      </c>
      <c r="AA56" s="10">
        <v>80.72</v>
      </c>
      <c r="AB56" s="95">
        <v>1267600</v>
      </c>
      <c r="AC56" s="10">
        <v>80.72</v>
      </c>
      <c r="AD56" s="2">
        <f t="shared" si="0"/>
        <v>1.8800000000000097</v>
      </c>
      <c r="AE56" s="138">
        <f t="shared" si="1"/>
        <v>-6.645335958651355E-3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3">C57*(E57-D57)</f>
        <v>470.51000000000016</v>
      </c>
      <c r="G57" s="382">
        <f t="shared" ref="G57" si="44">D57*C57</f>
        <v>3972.49</v>
      </c>
      <c r="H57" s="383">
        <f t="shared" ref="H57" si="45">(E57-D57)/D57</f>
        <v>0.11844208544263174</v>
      </c>
      <c r="I57" s="383"/>
      <c r="O57" s="83">
        <v>0.96</v>
      </c>
      <c r="P57" s="83">
        <f t="shared" si="18"/>
        <v>77.491199999999992</v>
      </c>
      <c r="W57" s="133">
        <v>42674</v>
      </c>
      <c r="X57" s="10">
        <v>80.81</v>
      </c>
      <c r="Y57" s="10">
        <v>81.739999999999995</v>
      </c>
      <c r="Z57" s="10">
        <v>80.75</v>
      </c>
      <c r="AA57" s="10">
        <v>81.260000000000005</v>
      </c>
      <c r="AB57" s="95">
        <v>716800</v>
      </c>
      <c r="AC57" s="10">
        <v>81.260000000000005</v>
      </c>
      <c r="AD57" s="2">
        <f t="shared" si="0"/>
        <v>0.98999999999999488</v>
      </c>
      <c r="AE57" s="138">
        <f t="shared" si="1"/>
        <v>1.0570824524313016E-2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6">C58*(E58-D58)</f>
        <v>500.50999999999988</v>
      </c>
      <c r="G58" s="382">
        <f t="shared" ref="G58:G59" si="47">D58*C58</f>
        <v>3972.49</v>
      </c>
      <c r="H58" s="383">
        <f t="shared" ref="H58:H59" si="48">(E58-D58)/D58</f>
        <v>0.12599402389936787</v>
      </c>
      <c r="I58" s="383"/>
      <c r="O58" s="83">
        <v>0.95</v>
      </c>
      <c r="P58" s="83">
        <f t="shared" si="18"/>
        <v>76.683999999999997</v>
      </c>
      <c r="W58" s="133">
        <v>42671</v>
      </c>
      <c r="X58" s="10">
        <v>79.91</v>
      </c>
      <c r="Y58" s="10">
        <v>82.29</v>
      </c>
      <c r="Z58" s="10">
        <v>79.91</v>
      </c>
      <c r="AA58" s="10">
        <v>80.41</v>
      </c>
      <c r="AB58" s="95">
        <v>861300</v>
      </c>
      <c r="AC58" s="10">
        <v>80.41</v>
      </c>
      <c r="AD58" s="2">
        <f t="shared" si="0"/>
        <v>2.3800000000000097</v>
      </c>
      <c r="AE58" s="138">
        <f t="shared" si="1"/>
        <v>3.118762475049941E-3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6"/>
        <v>413.46899999999977</v>
      </c>
      <c r="G59" s="382">
        <f t="shared" si="47"/>
        <v>2218.1310000000003</v>
      </c>
      <c r="H59" s="383">
        <f t="shared" si="48"/>
        <v>0.18640422950673324</v>
      </c>
      <c r="I59" s="383"/>
      <c r="O59" s="83">
        <v>0.94</v>
      </c>
      <c r="P59" s="83">
        <f t="shared" si="18"/>
        <v>75.876799999999989</v>
      </c>
      <c r="W59" s="133">
        <v>42670</v>
      </c>
      <c r="X59" s="10">
        <v>82.63</v>
      </c>
      <c r="Y59" s="10">
        <v>83.39</v>
      </c>
      <c r="Z59" s="10">
        <v>80</v>
      </c>
      <c r="AA59" s="10">
        <v>80.16</v>
      </c>
      <c r="AB59" s="95">
        <v>827900</v>
      </c>
      <c r="AC59" s="10">
        <v>80.16</v>
      </c>
      <c r="AD59" s="2">
        <f t="shared" si="0"/>
        <v>3.3900000000000006</v>
      </c>
      <c r="AE59" s="138">
        <f t="shared" si="1"/>
        <v>-2.7892311423720506E-2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8"/>
        <v>75.069600000000008</v>
      </c>
      <c r="W60" s="133">
        <v>42669</v>
      </c>
      <c r="X60" s="10">
        <v>80.349999999999994</v>
      </c>
      <c r="Y60" s="10">
        <v>83.26</v>
      </c>
      <c r="Z60" s="10">
        <v>80.2</v>
      </c>
      <c r="AA60" s="10">
        <v>82.46</v>
      </c>
      <c r="AB60" s="95">
        <v>1149900</v>
      </c>
      <c r="AC60" s="10">
        <v>82.46</v>
      </c>
      <c r="AD60" s="2">
        <f t="shared" si="0"/>
        <v>3.0600000000000023</v>
      </c>
      <c r="AE60" s="138" t="e">
        <f t="shared" si="1"/>
        <v>#DIV/0!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8"/>
        <v>74.2624</v>
      </c>
      <c r="W61" s="133">
        <v>42669</v>
      </c>
      <c r="X61" s="10" t="s">
        <v>139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156</v>
      </c>
      <c r="O62" s="83">
        <v>0.91</v>
      </c>
      <c r="P62" s="83">
        <f t="shared" si="18"/>
        <v>73.455200000000005</v>
      </c>
      <c r="W62" s="133">
        <v>42668</v>
      </c>
      <c r="X62" s="10">
        <v>78.98</v>
      </c>
      <c r="Y62" s="10">
        <v>81.17</v>
      </c>
      <c r="Z62" s="10">
        <v>78.650000000000006</v>
      </c>
      <c r="AA62" s="10">
        <v>81.16</v>
      </c>
      <c r="AB62" s="95">
        <v>845400</v>
      </c>
      <c r="AC62" s="10">
        <v>80.900000000000006</v>
      </c>
      <c r="AD62" s="2">
        <f t="shared" si="0"/>
        <v>2.519999999999996</v>
      </c>
      <c r="AE62" s="138">
        <f t="shared" si="1"/>
        <v>1.8122325698464836E-2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9">C63*(E63-D63)</f>
        <v>42.500000000000071</v>
      </c>
      <c r="G63" s="382">
        <f t="shared" ref="G63:G64" si="50">D63*C63</f>
        <v>1973.75</v>
      </c>
      <c r="H63" s="383">
        <f t="shared" ref="H63:H64" si="51">(E63-D63)/D63</f>
        <v>2.1532615579480718E-2</v>
      </c>
      <c r="I63" s="383"/>
      <c r="O63" s="83">
        <v>0.9</v>
      </c>
      <c r="P63" s="83">
        <f t="shared" si="18"/>
        <v>72.647999999999996</v>
      </c>
      <c r="W63" s="133">
        <v>42667</v>
      </c>
      <c r="X63" s="10">
        <v>80.349999999999994</v>
      </c>
      <c r="Y63" s="10">
        <v>80.739999999999995</v>
      </c>
      <c r="Z63" s="10">
        <v>79.42</v>
      </c>
      <c r="AA63" s="10">
        <v>79.72</v>
      </c>
      <c r="AB63" s="95">
        <v>899100</v>
      </c>
      <c r="AC63" s="10">
        <v>79.459999999999994</v>
      </c>
      <c r="AD63" s="2">
        <f t="shared" si="0"/>
        <v>1.3199999999999932</v>
      </c>
      <c r="AE63" s="138">
        <f t="shared" si="1"/>
        <v>-3.6363636363636598E-3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9"/>
        <v>30.750000000000099</v>
      </c>
      <c r="G64" s="382">
        <f t="shared" si="50"/>
        <v>1973.75</v>
      </c>
      <c r="H64" s="383">
        <f t="shared" si="51"/>
        <v>1.5579480683977251E-2</v>
      </c>
      <c r="I64" s="383"/>
      <c r="W64" s="133">
        <v>42664</v>
      </c>
      <c r="X64" s="10">
        <v>80.17</v>
      </c>
      <c r="Y64" s="10">
        <v>81.62</v>
      </c>
      <c r="Z64" s="10">
        <v>79.459999999999994</v>
      </c>
      <c r="AA64" s="10">
        <v>80.010000000000005</v>
      </c>
      <c r="AB64" s="95">
        <v>893000</v>
      </c>
      <c r="AC64" s="10">
        <v>79.75</v>
      </c>
      <c r="AD64" s="2">
        <f t="shared" si="0"/>
        <v>2.1600000000000108</v>
      </c>
      <c r="AE64" s="138">
        <f t="shared" si="1"/>
        <v>-1.1404487417875364E-2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2">C65*(E65-D65)</f>
        <v>75.750000000000028</v>
      </c>
      <c r="G65" s="382">
        <f t="shared" ref="G65" si="53">D65*C65</f>
        <v>1973.75</v>
      </c>
      <c r="H65" s="383">
        <f t="shared" ref="H65" si="54">(E65-D65)/D65</f>
        <v>3.8378720709309699E-2</v>
      </c>
      <c r="I65" s="383"/>
      <c r="W65" s="133">
        <v>42663</v>
      </c>
      <c r="X65" s="10">
        <v>80.89</v>
      </c>
      <c r="Y65" s="10">
        <v>81.67</v>
      </c>
      <c r="Z65" s="10">
        <v>80.73</v>
      </c>
      <c r="AA65" s="10">
        <v>80.930000000000007</v>
      </c>
      <c r="AB65" s="95">
        <v>884400</v>
      </c>
      <c r="AC65" s="10">
        <v>80.67</v>
      </c>
      <c r="AD65" s="2">
        <f t="shared" si="0"/>
        <v>0.93999999999999773</v>
      </c>
      <c r="AE65" s="138">
        <f t="shared" si="1"/>
        <v>3.7202380952372494E-4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5">C66*(E66-D66)</f>
        <v>53.749999999999787</v>
      </c>
      <c r="G66" s="382">
        <f t="shared" ref="G66" si="56">D66*C66</f>
        <v>1973.75</v>
      </c>
      <c r="H66" s="383">
        <f t="shared" ref="H66" si="57">(E66-D66)/D66</f>
        <v>2.7232425585813697E-2</v>
      </c>
      <c r="I66" s="383"/>
      <c r="W66" s="133">
        <v>42662</v>
      </c>
      <c r="X66" s="10">
        <v>80.459999999999994</v>
      </c>
      <c r="Y66" s="10">
        <v>81.92</v>
      </c>
      <c r="Z66" s="10">
        <v>79.98</v>
      </c>
      <c r="AA66" s="10">
        <v>80.900000000000006</v>
      </c>
      <c r="AB66" s="95">
        <v>643100</v>
      </c>
      <c r="AC66" s="10">
        <v>80.64</v>
      </c>
      <c r="AD66" s="2">
        <f t="shared" si="0"/>
        <v>1.9399999999999977</v>
      </c>
      <c r="AE66" s="138">
        <f t="shared" si="1"/>
        <v>6.2390816071873356E-3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8">C67*(E67-D67)</f>
        <v>88.250000000000028</v>
      </c>
      <c r="G67" s="382">
        <f t="shared" ref="G67" si="59">D67*C67</f>
        <v>1973.75</v>
      </c>
      <c r="H67" s="383">
        <f t="shared" ref="H67" si="60">(E67-D67)/D67</f>
        <v>4.4711842938568724E-2</v>
      </c>
      <c r="I67" s="383"/>
      <c r="W67" s="133">
        <v>42661</v>
      </c>
      <c r="X67" s="10">
        <v>80</v>
      </c>
      <c r="Y67" s="10">
        <v>81.36</v>
      </c>
      <c r="Z67" s="10">
        <v>80</v>
      </c>
      <c r="AA67" s="10">
        <v>80.400000000000006</v>
      </c>
      <c r="AB67" s="95">
        <v>662400</v>
      </c>
      <c r="AC67" s="10">
        <v>80.14</v>
      </c>
      <c r="AD67" s="2">
        <f>Y67-Z67</f>
        <v>1.3599999999999994</v>
      </c>
      <c r="AE67" s="138">
        <f>AC67/AC68-1</f>
        <v>9.0657265172500168E-3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1">C68*(E68-D68)</f>
        <v>70.499999999999829</v>
      </c>
      <c r="G68" s="382">
        <f t="shared" ref="G68" si="62">D68*C68</f>
        <v>1973.75</v>
      </c>
      <c r="H68" s="383">
        <f t="shared" ref="H68" si="63">(E68-D68)/D68</f>
        <v>3.5718809373020813E-2</v>
      </c>
      <c r="I68" s="383"/>
      <c r="W68" s="133">
        <v>42660</v>
      </c>
      <c r="X68" s="10">
        <v>80.83</v>
      </c>
      <c r="Y68" s="10">
        <v>81.459999999999994</v>
      </c>
      <c r="Z68" s="10">
        <v>79.36</v>
      </c>
      <c r="AA68" s="10">
        <v>79.680000000000007</v>
      </c>
      <c r="AB68" s="95">
        <v>822500</v>
      </c>
      <c r="AC68" s="10">
        <v>79.42</v>
      </c>
      <c r="AD68" s="2">
        <f>Y68-Z68</f>
        <v>2.0999999999999943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4">C69*(E69-D69)</f>
        <v>-51.249999999999929</v>
      </c>
      <c r="G69" s="382">
        <f t="shared" ref="G69" si="65">D69*C69</f>
        <v>1973.75</v>
      </c>
      <c r="H69" s="383">
        <f t="shared" ref="H69" si="66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7">C70*(E70-D70)</f>
        <v>-29.500000000000171</v>
      </c>
      <c r="G70" s="382">
        <f t="shared" ref="G70" si="68">D70*C70</f>
        <v>1973.75</v>
      </c>
      <c r="H70" s="383">
        <f t="shared" ref="H70" si="69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0">C71*(E71-D71)</f>
        <v>-85.750000000000171</v>
      </c>
      <c r="G71" s="382">
        <f t="shared" ref="G71" si="71">D71*C71</f>
        <v>1973.75</v>
      </c>
      <c r="H71" s="383">
        <f t="shared" ref="H71" si="72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3">C72*(E72-D72)</f>
        <v>-42.000000000000171</v>
      </c>
      <c r="G72" s="382">
        <f t="shared" ref="G72" si="74">D72*C72</f>
        <v>1973.75</v>
      </c>
      <c r="H72" s="383">
        <f t="shared" ref="H72" si="75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6">C73*(E73-D73)</f>
        <v>0.49999999999990052</v>
      </c>
      <c r="G73" s="382">
        <f t="shared" ref="G73" si="77">D73*C73</f>
        <v>1973.75</v>
      </c>
      <c r="H73" s="383">
        <f t="shared" ref="H73" si="78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9">C74*(E74-D74)</f>
        <v>-4.9500000000001876</v>
      </c>
      <c r="G74" s="382">
        <f t="shared" ref="G74" si="80">D74*C74</f>
        <v>4202</v>
      </c>
      <c r="H74" s="383">
        <f t="shared" ref="H74" si="81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2">C75*(E75-D75)</f>
        <v>-102.99849999999971</v>
      </c>
      <c r="G75" s="382">
        <f t="shared" ref="G75" si="83">D75*C75</f>
        <v>4202.1484999999993</v>
      </c>
      <c r="H75" s="383">
        <f t="shared" ref="H75" si="84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5">C76*(E76-D76)</f>
        <v>-37.548499999999834</v>
      </c>
      <c r="G76" s="382">
        <f t="shared" ref="G76" si="86">D76*C76</f>
        <v>4202.1484999999993</v>
      </c>
      <c r="H76" s="383">
        <f t="shared" ref="H76" si="87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8">C77*(E77-D77)</f>
        <v>77.951499999999854</v>
      </c>
      <c r="G77" s="382">
        <f t="shared" ref="G77:G78" si="89">D77*C77</f>
        <v>4202.1484999999993</v>
      </c>
      <c r="H77" s="383">
        <f t="shared" ref="H77:H78" si="90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8"/>
        <v>214.71000000000032</v>
      </c>
      <c r="G78" s="382">
        <f t="shared" si="89"/>
        <v>2228.19</v>
      </c>
      <c r="H78" s="383">
        <f t="shared" si="90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1">C79*(E79-D79)</f>
        <v>173.90999999999991</v>
      </c>
      <c r="G79" s="382">
        <f t="shared" ref="G79" si="92">D79*C79</f>
        <v>2228.19</v>
      </c>
      <c r="H79" s="383">
        <f t="shared" ref="H79" si="93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4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5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4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5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4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5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4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5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4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5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4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5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6">SUM(F84:F96)</f>
        <v>14258.65</v>
      </c>
      <c r="G100" s="14"/>
      <c r="H100" s="14">
        <f t="shared" ref="H100" si="97">SUM(H84:H96)</f>
        <v>175</v>
      </c>
      <c r="I100" s="14"/>
      <c r="J100" s="14"/>
      <c r="K100" s="14">
        <f t="shared" ref="K100" si="98">SUM(K84:K96)</f>
        <v>14913.800000000001</v>
      </c>
      <c r="L100" s="14"/>
      <c r="M100" s="18">
        <f t="shared" ref="M100" si="99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95" priority="31">
      <formula>N19&gt;0</formula>
    </cfRule>
    <cfRule type="expression" dxfId="994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93" priority="25">
      <formula>F42&gt;0</formula>
    </cfRule>
    <cfRule type="expression" dxfId="992" priority="26">
      <formula>F42&lt;0</formula>
    </cfRule>
  </conditionalFormatting>
  <conditionalFormatting sqref="H42:H60 H64:H81">
    <cfRule type="expression" dxfId="991" priority="23">
      <formula>H42&gt;0</formula>
    </cfRule>
    <cfRule type="expression" dxfId="990" priority="24">
      <formula>H42&lt;0</formula>
    </cfRule>
  </conditionalFormatting>
  <conditionalFormatting sqref="I38:I60 I63:I81">
    <cfRule type="expression" dxfId="989" priority="21">
      <formula>I38&gt;0</formula>
    </cfRule>
    <cfRule type="expression" dxfId="988" priority="22">
      <formula>I38&lt;0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38:F41">
    <cfRule type="expression" dxfId="983" priority="15">
      <formula>F38&gt;0</formula>
    </cfRule>
    <cfRule type="expression" dxfId="982" priority="16">
      <formula>F38&lt;0</formula>
    </cfRule>
  </conditionalFormatting>
  <conditionalFormatting sqref="H38:H41">
    <cfRule type="expression" dxfId="981" priority="13">
      <formula>H38&gt;0</formula>
    </cfRule>
    <cfRule type="expression" dxfId="980" priority="14">
      <formula>H38&lt;0</formula>
    </cfRule>
  </conditionalFormatting>
  <conditionalFormatting sqref="F63:F77">
    <cfRule type="expression" dxfId="979" priority="7">
      <formula>F63&gt;0</formula>
    </cfRule>
    <cfRule type="expression" dxfId="978" priority="8">
      <formula>F63&lt;0</formula>
    </cfRule>
  </conditionalFormatting>
  <conditionalFormatting sqref="H63:H77">
    <cfRule type="expression" dxfId="977" priority="5">
      <formula>H63&gt;0</formula>
    </cfRule>
    <cfRule type="expression" dxfId="976" priority="6">
      <formula>H63&lt;0</formula>
    </cfRule>
  </conditionalFormatting>
  <conditionalFormatting sqref="F25:F28">
    <cfRule type="expression" dxfId="975" priority="3">
      <formula>F25&gt;0</formula>
    </cfRule>
    <cfRule type="expression" dxfId="974" priority="4">
      <formula>F25&lt;0</formula>
    </cfRule>
  </conditionalFormatting>
  <conditionalFormatting sqref="H25:H28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120.45</v>
      </c>
      <c r="Y2" s="10">
        <v>120.45</v>
      </c>
      <c r="Z2" s="10">
        <v>119.73</v>
      </c>
      <c r="AA2" s="10">
        <v>120</v>
      </c>
      <c r="AB2" s="95">
        <v>29479900</v>
      </c>
      <c r="AC2" s="10">
        <v>120</v>
      </c>
      <c r="AD2" s="2">
        <f>Y2-Z2</f>
        <v>0.71999999999999886</v>
      </c>
      <c r="AE2" s="138">
        <f>AC2/AC3-1</f>
        <v>1.8367006177992806E-3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120</v>
      </c>
      <c r="W3" s="133">
        <v>42754</v>
      </c>
      <c r="X3" s="10">
        <v>119.4</v>
      </c>
      <c r="Y3" s="10">
        <v>120.09</v>
      </c>
      <c r="Z3" s="10">
        <v>119.37</v>
      </c>
      <c r="AA3" s="10">
        <v>119.78</v>
      </c>
      <c r="AB3" s="95">
        <v>25295700</v>
      </c>
      <c r="AC3" s="10">
        <v>119.78</v>
      </c>
      <c r="AD3" s="2">
        <f t="shared" ref="AD3:AD66" si="0">Y3-Z3</f>
        <v>0.71999999999999886</v>
      </c>
      <c r="AE3" s="138">
        <f t="shared" ref="AE3:AE66" si="1">AC3/AC4-1</f>
        <v>-1.75014584548705E-3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120</v>
      </c>
      <c r="R4" s="526">
        <v>1.8E-3</v>
      </c>
      <c r="T4" s="1"/>
      <c r="W4" s="133">
        <v>42753</v>
      </c>
      <c r="X4" s="10">
        <v>120</v>
      </c>
      <c r="Y4" s="10">
        <v>120.5</v>
      </c>
      <c r="Z4" s="10">
        <v>119.71</v>
      </c>
      <c r="AA4" s="10">
        <v>119.99</v>
      </c>
      <c r="AB4" s="95">
        <v>23644700</v>
      </c>
      <c r="AC4" s="10">
        <v>119.99</v>
      </c>
      <c r="AD4" s="2">
        <f t="shared" si="0"/>
        <v>0.79000000000000625</v>
      </c>
      <c r="AE4" s="138">
        <f t="shared" si="1"/>
        <v>-8.3333333333324155E-5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42752</v>
      </c>
      <c r="X5" s="10">
        <v>118.34</v>
      </c>
      <c r="Y5" s="10">
        <v>120.24</v>
      </c>
      <c r="Z5" s="10">
        <v>118.22</v>
      </c>
      <c r="AA5" s="10">
        <v>120</v>
      </c>
      <c r="AB5" s="95">
        <v>34078600</v>
      </c>
      <c r="AC5" s="10">
        <v>120</v>
      </c>
      <c r="AD5" s="2">
        <f t="shared" si="0"/>
        <v>2.019999999999996</v>
      </c>
      <c r="AE5" s="138">
        <f t="shared" si="1"/>
        <v>8.0645161290322509E-3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119.11</v>
      </c>
      <c r="Y6" s="10">
        <v>119.62</v>
      </c>
      <c r="Z6" s="10">
        <v>118.81</v>
      </c>
      <c r="AA6" s="10">
        <v>119.04</v>
      </c>
      <c r="AB6" s="95">
        <v>25938300</v>
      </c>
      <c r="AC6" s="10">
        <v>119.04</v>
      </c>
      <c r="AD6" s="2">
        <f t="shared" si="0"/>
        <v>0.81000000000000227</v>
      </c>
      <c r="AE6" s="138">
        <f t="shared" si="1"/>
        <v>-1.7610062893080869E-3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42747</v>
      </c>
      <c r="X7" s="10">
        <v>118.9</v>
      </c>
      <c r="Y7" s="10">
        <v>119.3</v>
      </c>
      <c r="Z7" s="10">
        <v>118.21</v>
      </c>
      <c r="AA7" s="10">
        <v>119.25</v>
      </c>
      <c r="AB7" s="95">
        <v>27002400</v>
      </c>
      <c r="AC7" s="10">
        <v>119.25</v>
      </c>
      <c r="AD7" s="2">
        <f t="shared" si="0"/>
        <v>1.0900000000000034</v>
      </c>
      <c r="AE7" s="138">
        <f t="shared" si="1"/>
        <v>-4.1753653444676075E-3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118.74</v>
      </c>
      <c r="Y8" s="10">
        <v>119.93</v>
      </c>
      <c r="Z8" s="10">
        <v>118.6</v>
      </c>
      <c r="AA8" s="10">
        <v>119.75</v>
      </c>
      <c r="AB8" s="95">
        <v>27418600</v>
      </c>
      <c r="AC8" s="10">
        <v>119.75</v>
      </c>
      <c r="AD8" s="2">
        <f t="shared" si="0"/>
        <v>1.3300000000000125</v>
      </c>
      <c r="AE8" s="138">
        <f t="shared" si="1"/>
        <v>5.3731844513476013E-3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158"/>
      <c r="W9" s="133">
        <v>42745</v>
      </c>
      <c r="X9" s="10">
        <v>118.77</v>
      </c>
      <c r="Y9" s="10">
        <v>119.38</v>
      </c>
      <c r="Z9" s="10">
        <v>118.3</v>
      </c>
      <c r="AA9" s="10">
        <v>119.11</v>
      </c>
      <c r="AB9" s="95">
        <v>24420800</v>
      </c>
      <c r="AC9" s="10">
        <v>119.11</v>
      </c>
      <c r="AD9" s="2">
        <f t="shared" si="0"/>
        <v>1.0799999999999983</v>
      </c>
      <c r="AE9" s="138">
        <f t="shared" si="1"/>
        <v>1.0084881082443875E-3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M55</f>
        <v>363.09999999999945</v>
      </c>
      <c r="W10" s="133">
        <v>42744</v>
      </c>
      <c r="X10" s="10">
        <v>117.95</v>
      </c>
      <c r="Y10" s="10">
        <v>119.43</v>
      </c>
      <c r="Z10" s="10">
        <v>117.94</v>
      </c>
      <c r="AA10" s="10">
        <v>118.99</v>
      </c>
      <c r="AB10" s="95">
        <v>33387600</v>
      </c>
      <c r="AC10" s="10">
        <v>118.99</v>
      </c>
      <c r="AD10" s="2">
        <f t="shared" si="0"/>
        <v>1.4900000000000091</v>
      </c>
      <c r="AE10" s="138">
        <f t="shared" si="1"/>
        <v>9.1595284539054411E-3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1.9E-2</v>
      </c>
      <c r="W11" s="133">
        <v>42741</v>
      </c>
      <c r="X11" s="10">
        <v>116.78</v>
      </c>
      <c r="Y11" s="10">
        <v>118.16</v>
      </c>
      <c r="Z11" s="10">
        <v>116.47</v>
      </c>
      <c r="AA11" s="10">
        <v>117.91</v>
      </c>
      <c r="AB11" s="95">
        <v>31577900</v>
      </c>
      <c r="AC11" s="10">
        <v>117.91</v>
      </c>
      <c r="AD11" s="2">
        <f t="shared" si="0"/>
        <v>1.6899999999999977</v>
      </c>
      <c r="AE11" s="138">
        <f t="shared" si="1"/>
        <v>1.1148272017837302E-2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115.92</v>
      </c>
      <c r="Y12" s="10">
        <v>116.86</v>
      </c>
      <c r="Z12" s="10">
        <v>115.81</v>
      </c>
      <c r="AA12" s="10">
        <v>116.61</v>
      </c>
      <c r="AB12" s="95">
        <v>22103700</v>
      </c>
      <c r="AC12" s="10">
        <v>116.61</v>
      </c>
      <c r="AD12" s="2">
        <f t="shared" si="0"/>
        <v>1.0499999999999972</v>
      </c>
      <c r="AE12" s="138">
        <f t="shared" si="1"/>
        <v>5.0853301154973884E-3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115.85</v>
      </c>
      <c r="Y13" s="10">
        <v>116.51</v>
      </c>
      <c r="Z13" s="10">
        <v>115.75</v>
      </c>
      <c r="AA13" s="10">
        <v>116.02</v>
      </c>
      <c r="AB13" s="95">
        <v>20858700</v>
      </c>
      <c r="AC13" s="10">
        <v>116.02</v>
      </c>
      <c r="AD13" s="2">
        <f t="shared" si="0"/>
        <v>0.76000000000000512</v>
      </c>
      <c r="AE13" s="138">
        <f t="shared" si="1"/>
        <v>-1.1192423590186129E-3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115.8</v>
      </c>
      <c r="Y14" s="10">
        <v>116.33</v>
      </c>
      <c r="Z14" s="10">
        <v>114.76</v>
      </c>
      <c r="AA14" s="10">
        <v>116.15</v>
      </c>
      <c r="AB14" s="95">
        <v>28509500</v>
      </c>
      <c r="AC14" s="10">
        <v>116.15</v>
      </c>
      <c r="AD14" s="2">
        <f t="shared" si="0"/>
        <v>1.5699999999999932</v>
      </c>
      <c r="AE14" s="138">
        <f t="shared" si="1"/>
        <v>2.8492488343982991E-3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116.65</v>
      </c>
      <c r="Y15" s="10">
        <v>117.2</v>
      </c>
      <c r="Z15" s="10">
        <v>115.43</v>
      </c>
      <c r="AA15" s="10">
        <v>115.82</v>
      </c>
      <c r="AB15" s="95">
        <v>30253100</v>
      </c>
      <c r="AC15" s="10">
        <v>115.82</v>
      </c>
      <c r="AD15" s="2">
        <f t="shared" si="0"/>
        <v>1.769999999999996</v>
      </c>
      <c r="AE15" s="138">
        <f t="shared" si="1"/>
        <v>-7.7957680116509387E-3</v>
      </c>
    </row>
    <row r="16" spans="1:40" x14ac:dyDescent="0.25">
      <c r="G16" s="1"/>
      <c r="H16" s="72"/>
      <c r="W16" s="133">
        <v>42733</v>
      </c>
      <c r="X16" s="10">
        <v>116.45</v>
      </c>
      <c r="Y16" s="10">
        <v>117.11</v>
      </c>
      <c r="Z16" s="10">
        <v>116.4</v>
      </c>
      <c r="AA16" s="10">
        <v>116.73</v>
      </c>
      <c r="AB16" s="95">
        <v>14963300</v>
      </c>
      <c r="AC16" s="10">
        <v>116.73</v>
      </c>
      <c r="AD16" s="2">
        <f t="shared" si="0"/>
        <v>0.70999999999999375</v>
      </c>
      <c r="AE16" s="138">
        <f t="shared" si="1"/>
        <v>-2.5693730729703379E-4</v>
      </c>
    </row>
    <row r="17" spans="1:31" x14ac:dyDescent="0.25">
      <c r="G17" s="1"/>
      <c r="H17" s="72"/>
      <c r="W17" s="133">
        <v>42732</v>
      </c>
      <c r="X17" s="10">
        <v>117.52</v>
      </c>
      <c r="Y17" s="10">
        <v>118.02</v>
      </c>
      <c r="Z17" s="10">
        <v>116.2</v>
      </c>
      <c r="AA17" s="10">
        <v>116.76</v>
      </c>
      <c r="AB17" s="95">
        <v>20582000</v>
      </c>
      <c r="AC17" s="10">
        <v>116.76</v>
      </c>
      <c r="AD17" s="2">
        <f t="shared" si="0"/>
        <v>1.8199999999999932</v>
      </c>
      <c r="AE17" s="138">
        <f t="shared" si="1"/>
        <v>-4.2640286542725558E-3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42731</v>
      </c>
      <c r="X18" s="10">
        <v>116.52</v>
      </c>
      <c r="Y18" s="10">
        <v>117.8</v>
      </c>
      <c r="Z18" s="10">
        <v>116.49</v>
      </c>
      <c r="AA18" s="10">
        <v>117.26</v>
      </c>
      <c r="AB18" s="95">
        <v>18071900</v>
      </c>
      <c r="AC18" s="10">
        <v>117.26</v>
      </c>
      <c r="AD18" s="2">
        <f t="shared" si="0"/>
        <v>1.3100000000000023</v>
      </c>
      <c r="AE18" s="138">
        <f t="shared" si="1"/>
        <v>6.3508410573291929E-3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42727</v>
      </c>
      <c r="X19" s="10">
        <v>115.59</v>
      </c>
      <c r="Y19" s="10">
        <v>116.52</v>
      </c>
      <c r="Z19" s="10">
        <v>115.59</v>
      </c>
      <c r="AA19" s="10">
        <v>116.52</v>
      </c>
      <c r="AB19" s="95">
        <v>14181200</v>
      </c>
      <c r="AC19" s="10">
        <v>116.52</v>
      </c>
      <c r="AD19" s="2">
        <f t="shared" si="0"/>
        <v>0.92999999999999261</v>
      </c>
      <c r="AE19" s="138">
        <f t="shared" si="1"/>
        <v>1.9778140854758153E-3</v>
      </c>
    </row>
    <row r="20" spans="1:31" x14ac:dyDescent="0.25">
      <c r="W20" s="133">
        <v>42726</v>
      </c>
      <c r="X20" s="10">
        <v>116.35</v>
      </c>
      <c r="Y20" s="10">
        <v>116.51</v>
      </c>
      <c r="Z20" s="10">
        <v>115.64</v>
      </c>
      <c r="AA20" s="10">
        <v>116.29</v>
      </c>
      <c r="AB20" s="95">
        <v>25789800</v>
      </c>
      <c r="AC20" s="10">
        <v>116.29</v>
      </c>
      <c r="AD20" s="2">
        <f t="shared" si="0"/>
        <v>0.87000000000000455</v>
      </c>
      <c r="AE20" s="138">
        <f t="shared" si="1"/>
        <v>-6.5778233384589102E-3</v>
      </c>
    </row>
    <row r="21" spans="1:31" x14ac:dyDescent="0.25">
      <c r="W21" s="133">
        <v>42725</v>
      </c>
      <c r="X21" s="10">
        <v>116.8</v>
      </c>
      <c r="Y21" s="10">
        <v>117.4</v>
      </c>
      <c r="Z21" s="10">
        <v>116.78</v>
      </c>
      <c r="AA21" s="10">
        <v>117.06</v>
      </c>
      <c r="AB21" s="95">
        <v>24216900</v>
      </c>
      <c r="AC21" s="10">
        <v>117.06</v>
      </c>
      <c r="AD21" s="2">
        <f t="shared" si="0"/>
        <v>0.62000000000000455</v>
      </c>
      <c r="AE21" s="138">
        <f t="shared" si="1"/>
        <v>9.4057289439941627E-4</v>
      </c>
    </row>
    <row r="22" spans="1:31" x14ac:dyDescent="0.25">
      <c r="W22" s="133">
        <v>42724</v>
      </c>
      <c r="X22" s="10">
        <v>116.74</v>
      </c>
      <c r="Y22" s="10">
        <v>117.5</v>
      </c>
      <c r="Z22" s="10">
        <v>116.68</v>
      </c>
      <c r="AA22" s="10">
        <v>116.95</v>
      </c>
      <c r="AB22" s="95">
        <v>20905800</v>
      </c>
      <c r="AC22" s="10">
        <v>116.95</v>
      </c>
      <c r="AD22" s="2">
        <f t="shared" si="0"/>
        <v>0.81999999999999318</v>
      </c>
      <c r="AE22" s="138">
        <f t="shared" si="1"/>
        <v>2.6577503429354721E-3</v>
      </c>
    </row>
    <row r="23" spans="1:31" x14ac:dyDescent="0.25">
      <c r="W23" s="133">
        <v>42723</v>
      </c>
      <c r="X23" s="10">
        <v>115.8</v>
      </c>
      <c r="Y23" s="10">
        <v>117.38</v>
      </c>
      <c r="Z23" s="10">
        <v>115.75</v>
      </c>
      <c r="AA23" s="10">
        <v>116.64</v>
      </c>
      <c r="AB23" s="95">
        <v>27675400</v>
      </c>
      <c r="AC23" s="10">
        <v>116.64</v>
      </c>
      <c r="AD23" s="2">
        <f t="shared" si="0"/>
        <v>1.6299999999999955</v>
      </c>
      <c r="AE23" s="138">
        <f t="shared" si="1"/>
        <v>5.7773562128136113E-3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42720</v>
      </c>
      <c r="X24" s="10">
        <v>116.47</v>
      </c>
      <c r="Y24" s="10">
        <v>116.5</v>
      </c>
      <c r="Z24" s="10">
        <v>115.65</v>
      </c>
      <c r="AA24" s="10">
        <v>115.97</v>
      </c>
      <c r="AB24" s="95">
        <v>44055400</v>
      </c>
      <c r="AC24" s="10">
        <v>115.97</v>
      </c>
      <c r="AD24" s="2">
        <f t="shared" si="0"/>
        <v>0.84999999999999432</v>
      </c>
      <c r="AE24" s="138">
        <f t="shared" si="1"/>
        <v>1.2951131065446209E-3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42719</v>
      </c>
      <c r="X25" s="10">
        <v>115.38</v>
      </c>
      <c r="Y25" s="10">
        <v>116.73</v>
      </c>
      <c r="Z25" s="10">
        <v>115.23</v>
      </c>
      <c r="AA25" s="10">
        <v>115.82</v>
      </c>
      <c r="AB25" s="95">
        <v>46232200</v>
      </c>
      <c r="AC25" s="10">
        <v>115.82</v>
      </c>
      <c r="AD25" s="2">
        <f t="shared" si="0"/>
        <v>1.5</v>
      </c>
      <c r="AE25" s="138">
        <f t="shared" si="1"/>
        <v>5.4692247590937271E-3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42718</v>
      </c>
      <c r="X26" s="10">
        <v>115.04</v>
      </c>
      <c r="Y26" s="10">
        <v>116.2</v>
      </c>
      <c r="Z26" s="10">
        <v>114.98</v>
      </c>
      <c r="AA26" s="10">
        <v>115.19</v>
      </c>
      <c r="AB26" s="95">
        <v>33433200</v>
      </c>
      <c r="AC26" s="10">
        <v>115.19</v>
      </c>
      <c r="AD26" s="2">
        <f t="shared" si="0"/>
        <v>1.2199999999999989</v>
      </c>
      <c r="AE26" s="138">
        <f t="shared" si="1"/>
        <v>0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219</v>
      </c>
      <c r="W27" s="133">
        <v>42717</v>
      </c>
      <c r="X27" s="10">
        <v>113.84</v>
      </c>
      <c r="Y27" s="10">
        <v>115.92</v>
      </c>
      <c r="Z27" s="10">
        <v>113.75</v>
      </c>
      <c r="AA27" s="10">
        <v>115.19</v>
      </c>
      <c r="AB27" s="95">
        <v>43167500</v>
      </c>
      <c r="AC27" s="10">
        <v>115.19</v>
      </c>
      <c r="AD27" s="2">
        <f t="shared" si="0"/>
        <v>2.1700000000000017</v>
      </c>
      <c r="AE27" s="138">
        <f t="shared" si="1"/>
        <v>1.6681376875551601E-2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42716</v>
      </c>
      <c r="X28" s="10">
        <v>113.29</v>
      </c>
      <c r="Y28" s="10">
        <v>115</v>
      </c>
      <c r="Z28" s="10">
        <v>112.49</v>
      </c>
      <c r="AA28" s="10">
        <v>113.3</v>
      </c>
      <c r="AB28" s="95">
        <v>26149100</v>
      </c>
      <c r="AC28" s="10">
        <v>113.3</v>
      </c>
      <c r="AD28" s="2">
        <f t="shared" si="0"/>
        <v>2.5100000000000051</v>
      </c>
      <c r="AE28" s="138">
        <f t="shared" si="1"/>
        <v>-5.7042562527425122E-3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42713</v>
      </c>
      <c r="X29" s="10">
        <v>112.31</v>
      </c>
      <c r="Y29" s="10">
        <v>114.7</v>
      </c>
      <c r="Z29" s="10">
        <v>112.31</v>
      </c>
      <c r="AA29" s="10">
        <v>113.95</v>
      </c>
      <c r="AB29" s="95">
        <v>34274100</v>
      </c>
      <c r="AC29" s="10">
        <v>113.95</v>
      </c>
      <c r="AD29" s="2">
        <f t="shared" si="0"/>
        <v>2.3900000000000006</v>
      </c>
      <c r="AE29" s="138">
        <f t="shared" si="1"/>
        <v>1.6321798073492655E-2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42712</v>
      </c>
      <c r="X30" s="10">
        <v>110.86</v>
      </c>
      <c r="Y30" s="10">
        <v>112.43</v>
      </c>
      <c r="Z30" s="10">
        <v>110.6</v>
      </c>
      <c r="AA30" s="10">
        <v>112.12</v>
      </c>
      <c r="AB30" s="95">
        <v>26818500</v>
      </c>
      <c r="AC30" s="10">
        <v>112.12</v>
      </c>
      <c r="AD30" s="2">
        <f t="shared" si="0"/>
        <v>1.8300000000000125</v>
      </c>
      <c r="AE30" s="138">
        <f t="shared" si="1"/>
        <v>9.8171665315680556E-3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42711</v>
      </c>
      <c r="X31" s="10">
        <v>109.26</v>
      </c>
      <c r="Y31" s="10">
        <v>111.19</v>
      </c>
      <c r="Z31" s="10">
        <v>109.16</v>
      </c>
      <c r="AA31" s="10">
        <v>111.03</v>
      </c>
      <c r="AB31" s="95">
        <v>29853000</v>
      </c>
      <c r="AC31" s="10">
        <v>111.03</v>
      </c>
      <c r="AD31" s="2">
        <f t="shared" si="0"/>
        <v>2.0300000000000011</v>
      </c>
      <c r="AE31" s="138">
        <f t="shared" si="1"/>
        <v>9.8226466575717097E-3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42710</v>
      </c>
      <c r="X32" s="10">
        <v>109.5</v>
      </c>
      <c r="Y32" s="10">
        <v>110.36</v>
      </c>
      <c r="Z32" s="10">
        <v>109.19</v>
      </c>
      <c r="AA32" s="10">
        <v>109.95</v>
      </c>
      <c r="AB32" s="95">
        <v>26075900</v>
      </c>
      <c r="AC32" s="10">
        <v>109.95</v>
      </c>
      <c r="AD32" s="2">
        <f t="shared" si="0"/>
        <v>1.1700000000000017</v>
      </c>
      <c r="AE32" s="138">
        <f t="shared" si="1"/>
        <v>7.6986527357711942E-3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42709</v>
      </c>
      <c r="X33" s="10">
        <v>110</v>
      </c>
      <c r="Y33" s="10">
        <v>110.03</v>
      </c>
      <c r="Z33" s="10">
        <v>108.25</v>
      </c>
      <c r="AA33" s="10">
        <v>109.11</v>
      </c>
      <c r="AB33" s="95">
        <v>34037300</v>
      </c>
      <c r="AC33" s="10">
        <v>109.11</v>
      </c>
      <c r="AD33" s="2">
        <f t="shared" si="0"/>
        <v>1.7800000000000011</v>
      </c>
      <c r="AE33" s="138">
        <f t="shared" si="1"/>
        <v>-7.1883530482257374E-3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42706</v>
      </c>
      <c r="X34" s="10">
        <v>109.17</v>
      </c>
      <c r="Y34" s="10">
        <v>110.09</v>
      </c>
      <c r="Z34" s="10">
        <v>108.85</v>
      </c>
      <c r="AA34" s="10">
        <v>109.9</v>
      </c>
      <c r="AB34" s="95">
        <v>26409800</v>
      </c>
      <c r="AC34" s="10">
        <v>109.9</v>
      </c>
      <c r="AD34" s="2">
        <f t="shared" si="0"/>
        <v>1.2400000000000091</v>
      </c>
      <c r="AE34" s="138">
        <f t="shared" si="1"/>
        <v>3.7446342131701726E-3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42705</v>
      </c>
      <c r="X35" s="10">
        <v>110.37</v>
      </c>
      <c r="Y35" s="10">
        <v>110.94</v>
      </c>
      <c r="Z35" s="10">
        <v>109.03</v>
      </c>
      <c r="AA35" s="10">
        <v>109.49</v>
      </c>
      <c r="AB35" s="95">
        <v>36825800</v>
      </c>
      <c r="AC35" s="10">
        <v>109.49</v>
      </c>
      <c r="AD35" s="2">
        <f t="shared" si="0"/>
        <v>1.9099999999999966</v>
      </c>
      <c r="AE35" s="138">
        <f t="shared" si="1"/>
        <v>-9.3195801664857081E-3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42704</v>
      </c>
      <c r="X36" s="10">
        <v>111.6</v>
      </c>
      <c r="Y36" s="10">
        <v>112.2</v>
      </c>
      <c r="Z36" s="10">
        <v>110.27</v>
      </c>
      <c r="AA36" s="10">
        <v>110.52</v>
      </c>
      <c r="AB36" s="95">
        <v>35765000</v>
      </c>
      <c r="AC36" s="10">
        <v>110.52</v>
      </c>
      <c r="AD36" s="2">
        <f t="shared" si="0"/>
        <v>1.9300000000000068</v>
      </c>
      <c r="AE36" s="138">
        <f t="shared" si="1"/>
        <v>-8.433518751121416E-3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42703</v>
      </c>
      <c r="X37" s="10">
        <v>110.78</v>
      </c>
      <c r="Y37" s="10">
        <v>112.03</v>
      </c>
      <c r="Z37" s="10">
        <v>110.07</v>
      </c>
      <c r="AA37" s="10">
        <v>111.46</v>
      </c>
      <c r="AB37" s="95">
        <v>28459300</v>
      </c>
      <c r="AC37" s="10">
        <v>111.46</v>
      </c>
      <c r="AD37" s="2">
        <f t="shared" si="0"/>
        <v>1.960000000000008</v>
      </c>
      <c r="AE37" s="138">
        <f t="shared" si="1"/>
        <v>-9.859281168772549E-4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42702</v>
      </c>
      <c r="X38" s="10">
        <v>111.43</v>
      </c>
      <c r="Y38" s="10">
        <v>112.47</v>
      </c>
      <c r="Z38" s="10">
        <v>111.39</v>
      </c>
      <c r="AA38" s="10">
        <v>111.57</v>
      </c>
      <c r="AB38" s="95">
        <v>27026600</v>
      </c>
      <c r="AC38" s="10">
        <v>111.57</v>
      </c>
      <c r="AD38" s="2">
        <f t="shared" si="0"/>
        <v>1.0799999999999983</v>
      </c>
      <c r="AE38" s="138">
        <f t="shared" si="1"/>
        <v>-1.9679756686645788E-3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42699</v>
      </c>
      <c r="X39" s="10">
        <v>111.13</v>
      </c>
      <c r="Y39" s="10">
        <v>111.87</v>
      </c>
      <c r="Z39" s="10">
        <v>110.95</v>
      </c>
      <c r="AA39" s="10">
        <v>111.79</v>
      </c>
      <c r="AB39" s="95">
        <v>11424400</v>
      </c>
      <c r="AC39" s="10">
        <v>111.79</v>
      </c>
      <c r="AD39" s="2">
        <f t="shared" si="0"/>
        <v>0.92000000000000171</v>
      </c>
      <c r="AE39" s="138">
        <f t="shared" si="1"/>
        <v>5.0346129641283266E-3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119.78</v>
      </c>
      <c r="W40" s="133">
        <v>42697</v>
      </c>
      <c r="X40" s="10">
        <v>111.36</v>
      </c>
      <c r="Y40" s="10">
        <v>111.51</v>
      </c>
      <c r="Z40" s="10">
        <v>110.33</v>
      </c>
      <c r="AA40" s="10">
        <v>111.23</v>
      </c>
      <c r="AB40" s="95">
        <v>27387900</v>
      </c>
      <c r="AC40" s="10">
        <v>111.23</v>
      </c>
      <c r="AD40" s="2">
        <f t="shared" si="0"/>
        <v>1.1800000000000068</v>
      </c>
      <c r="AE40" s="138">
        <f t="shared" si="1"/>
        <v>-5.0983899821108736E-3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265</v>
      </c>
      <c r="T41" s="108" t="s">
        <v>99</v>
      </c>
      <c r="U41" s="368">
        <v>120.45</v>
      </c>
      <c r="W41" s="133">
        <v>42696</v>
      </c>
      <c r="X41" s="10">
        <v>111.95</v>
      </c>
      <c r="Y41" s="10">
        <v>112.42</v>
      </c>
      <c r="Z41" s="10">
        <v>111.4</v>
      </c>
      <c r="AA41" s="10">
        <v>111.8</v>
      </c>
      <c r="AB41" s="95">
        <v>25922600</v>
      </c>
      <c r="AC41" s="10">
        <v>111.8</v>
      </c>
      <c r="AD41" s="2">
        <f t="shared" si="0"/>
        <v>1.019999999999996</v>
      </c>
      <c r="AE41" s="138">
        <f t="shared" si="1"/>
        <v>6.265103374205605E-4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2" t="s">
        <v>78</v>
      </c>
      <c r="P42" s="632"/>
      <c r="T42" s="108" t="s">
        <v>100</v>
      </c>
      <c r="U42" s="368" t="s">
        <v>474</v>
      </c>
      <c r="W42" s="133">
        <v>42695</v>
      </c>
      <c r="X42" s="10">
        <v>110.12</v>
      </c>
      <c r="Y42" s="10">
        <v>111.99</v>
      </c>
      <c r="Z42" s="10">
        <v>110.01</v>
      </c>
      <c r="AA42" s="10">
        <v>111.73</v>
      </c>
      <c r="AB42" s="95">
        <v>29119100</v>
      </c>
      <c r="AC42" s="10">
        <v>111.73</v>
      </c>
      <c r="AD42" s="2">
        <f t="shared" si="0"/>
        <v>1.9799999999999898</v>
      </c>
      <c r="AE42" s="138">
        <f t="shared" si="1"/>
        <v>1.5173541704524895E-2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132</v>
      </c>
      <c r="Q43" s="2"/>
      <c r="T43" s="108" t="s">
        <v>101</v>
      </c>
      <c r="U43" s="368" t="s">
        <v>475</v>
      </c>
      <c r="W43" s="133">
        <v>42692</v>
      </c>
      <c r="X43" s="10">
        <v>109.72</v>
      </c>
      <c r="Y43" s="10">
        <v>110.54</v>
      </c>
      <c r="Z43" s="10">
        <v>109.66</v>
      </c>
      <c r="AA43" s="10">
        <v>110.06</v>
      </c>
      <c r="AB43" s="95">
        <v>27404300</v>
      </c>
      <c r="AC43" s="10">
        <v>110.06</v>
      </c>
      <c r="AD43" s="2">
        <f t="shared" si="0"/>
        <v>0.88000000000000966</v>
      </c>
      <c r="AE43" s="138">
        <f t="shared" si="1"/>
        <v>1.0004547521600404E-3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130.80000000000001</v>
      </c>
      <c r="Q44" s="2"/>
      <c r="T44" s="108" t="s">
        <v>102</v>
      </c>
      <c r="U44" s="368">
        <v>133.44999999999999</v>
      </c>
      <c r="W44" s="133">
        <v>42691</v>
      </c>
      <c r="X44" s="10">
        <v>109.81</v>
      </c>
      <c r="Y44" s="10">
        <v>110.35</v>
      </c>
      <c r="Z44" s="10">
        <v>108.83</v>
      </c>
      <c r="AA44" s="10">
        <v>109.95</v>
      </c>
      <c r="AB44" s="95">
        <v>26964600</v>
      </c>
      <c r="AC44" s="10">
        <v>109.95</v>
      </c>
      <c r="AD44" s="2">
        <f t="shared" si="0"/>
        <v>1.519999999999996</v>
      </c>
      <c r="AE44" s="138">
        <f t="shared" si="1"/>
        <v>-3.6366942449306272E-4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129.60000000000002</v>
      </c>
      <c r="Q45" s="2"/>
      <c r="T45" s="108" t="s">
        <v>103</v>
      </c>
      <c r="U45" s="368">
        <v>1.4416599999999999</v>
      </c>
      <c r="W45" s="133">
        <v>42690</v>
      </c>
      <c r="X45" s="10">
        <v>106.7</v>
      </c>
      <c r="Y45" s="10">
        <v>110.23</v>
      </c>
      <c r="Z45" s="10">
        <v>106.6</v>
      </c>
      <c r="AA45" s="10">
        <v>109.99</v>
      </c>
      <c r="AB45" s="95">
        <v>58702500</v>
      </c>
      <c r="AC45" s="10">
        <v>109.99</v>
      </c>
      <c r="AD45" s="2">
        <f t="shared" si="0"/>
        <v>3.6300000000000097</v>
      </c>
      <c r="AE45" s="138">
        <f t="shared" si="1"/>
        <v>2.6888245728690086E-2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128.4</v>
      </c>
      <c r="Q46" s="2"/>
      <c r="T46" s="108" t="s">
        <v>104</v>
      </c>
      <c r="U46" s="368" t="s">
        <v>407</v>
      </c>
      <c r="W46" s="133">
        <v>42689</v>
      </c>
      <c r="X46" s="10">
        <v>106.57</v>
      </c>
      <c r="Y46" s="10">
        <v>107.68</v>
      </c>
      <c r="Z46" s="10">
        <v>106.16</v>
      </c>
      <c r="AA46" s="10">
        <v>107.11</v>
      </c>
      <c r="AB46" s="95">
        <v>32216900</v>
      </c>
      <c r="AC46" s="10">
        <v>107.11</v>
      </c>
      <c r="AD46" s="2">
        <f t="shared" si="0"/>
        <v>1.5200000000000102</v>
      </c>
      <c r="AE46" s="138">
        <f t="shared" si="1"/>
        <v>1.3243780153249451E-2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127.2</v>
      </c>
      <c r="Q47" s="2"/>
      <c r="T47" s="108"/>
      <c r="U47" s="368"/>
      <c r="W47" s="133">
        <v>42688</v>
      </c>
      <c r="X47" s="10">
        <v>107.71</v>
      </c>
      <c r="Y47" s="10">
        <v>107.81</v>
      </c>
      <c r="Z47" s="10">
        <v>104.08</v>
      </c>
      <c r="AA47" s="10">
        <v>105.71</v>
      </c>
      <c r="AB47" s="95">
        <v>50872500</v>
      </c>
      <c r="AC47" s="10">
        <v>105.71</v>
      </c>
      <c r="AD47" s="2">
        <f t="shared" si="0"/>
        <v>3.730000000000004</v>
      </c>
      <c r="AE47" s="138">
        <f t="shared" si="1"/>
        <v>-2.5085308493959402E-2</v>
      </c>
    </row>
    <row r="48" spans="2:31" x14ac:dyDescent="0.25">
      <c r="O48" s="83">
        <v>1.05</v>
      </c>
      <c r="P48" s="83">
        <f t="shared" si="25"/>
        <v>126</v>
      </c>
      <c r="Q48" s="2"/>
      <c r="T48" s="108" t="s">
        <v>105</v>
      </c>
      <c r="U48" s="368" t="s">
        <v>476</v>
      </c>
      <c r="W48" s="133">
        <v>42685</v>
      </c>
      <c r="X48" s="10">
        <v>107.12</v>
      </c>
      <c r="Y48" s="10">
        <v>108.87</v>
      </c>
      <c r="Z48" s="10">
        <v>106.55</v>
      </c>
      <c r="AA48" s="10">
        <v>108.43</v>
      </c>
      <c r="AB48" s="95">
        <v>34094100</v>
      </c>
      <c r="AC48" s="10">
        <v>108.43</v>
      </c>
      <c r="AD48" s="2">
        <f t="shared" si="0"/>
        <v>2.3200000000000074</v>
      </c>
      <c r="AE48" s="138">
        <f t="shared" si="1"/>
        <v>5.9374710084423299E-3</v>
      </c>
    </row>
    <row r="49" spans="1:31" x14ac:dyDescent="0.25">
      <c r="O49" s="83">
        <v>1.04</v>
      </c>
      <c r="P49" s="83">
        <f t="shared" si="25"/>
        <v>124.80000000000001</v>
      </c>
      <c r="Q49" s="2"/>
      <c r="T49" s="108" t="s">
        <v>106</v>
      </c>
      <c r="U49" s="368" t="s">
        <v>477</v>
      </c>
      <c r="W49" s="133">
        <v>42684</v>
      </c>
      <c r="X49" s="10">
        <v>111.09</v>
      </c>
      <c r="Y49" s="10">
        <v>111.09</v>
      </c>
      <c r="Z49" s="10">
        <v>105.83</v>
      </c>
      <c r="AA49" s="10">
        <v>107.79</v>
      </c>
      <c r="AB49" s="95">
        <v>57134500</v>
      </c>
      <c r="AC49" s="10">
        <v>107.79</v>
      </c>
      <c r="AD49" s="2">
        <f t="shared" si="0"/>
        <v>5.2600000000000051</v>
      </c>
      <c r="AE49" s="138">
        <f t="shared" si="1"/>
        <v>-2.7867965367965319E-2</v>
      </c>
    </row>
    <row r="50" spans="1:31" x14ac:dyDescent="0.25">
      <c r="O50" s="83">
        <v>1.03</v>
      </c>
      <c r="P50" s="83">
        <f t="shared" si="25"/>
        <v>123.60000000000001</v>
      </c>
      <c r="Q50" s="2"/>
      <c r="T50" s="108" t="s">
        <v>107</v>
      </c>
      <c r="U50" s="369">
        <v>32597892</v>
      </c>
      <c r="W50" s="133">
        <v>42683</v>
      </c>
      <c r="X50" s="10">
        <v>109.88</v>
      </c>
      <c r="Y50" s="10">
        <v>111.32</v>
      </c>
      <c r="Z50" s="10">
        <v>108.05</v>
      </c>
      <c r="AA50" s="10">
        <v>110.88</v>
      </c>
      <c r="AB50" s="95">
        <v>59176400</v>
      </c>
      <c r="AC50" s="10">
        <v>110.88</v>
      </c>
      <c r="AD50" s="2">
        <f t="shared" si="0"/>
        <v>3.269999999999996</v>
      </c>
      <c r="AE50" s="138">
        <f t="shared" si="1"/>
        <v>-1.6207455429497752E-3</v>
      </c>
    </row>
    <row r="51" spans="1:31" x14ac:dyDescent="0.25">
      <c r="O51" s="83">
        <v>1.02</v>
      </c>
      <c r="P51" s="83">
        <f t="shared" si="25"/>
        <v>122.4</v>
      </c>
      <c r="Q51" s="2"/>
      <c r="T51" s="108" t="s">
        <v>110</v>
      </c>
      <c r="U51" s="369">
        <v>31411400</v>
      </c>
      <c r="W51" s="133">
        <v>42682</v>
      </c>
      <c r="X51" s="10">
        <v>110.31</v>
      </c>
      <c r="Y51" s="10">
        <v>111.72</v>
      </c>
      <c r="Z51" s="10">
        <v>109.7</v>
      </c>
      <c r="AA51" s="10">
        <v>111.06</v>
      </c>
      <c r="AB51" s="95">
        <v>24054500</v>
      </c>
      <c r="AC51" s="10">
        <v>111.06</v>
      </c>
      <c r="AD51" s="2">
        <f t="shared" si="0"/>
        <v>2.019999999999996</v>
      </c>
      <c r="AE51" s="138">
        <f t="shared" si="1"/>
        <v>5.8871479032696072E-3</v>
      </c>
    </row>
    <row r="52" spans="1:31" x14ac:dyDescent="0.25">
      <c r="O52" s="83">
        <v>1.01</v>
      </c>
      <c r="P52" s="83">
        <f t="shared" si="25"/>
        <v>121.2</v>
      </c>
      <c r="Q52" s="2"/>
      <c r="T52" s="108" t="s">
        <v>108</v>
      </c>
      <c r="U52" s="368" t="s">
        <v>626</v>
      </c>
      <c r="W52" s="133">
        <v>42681</v>
      </c>
      <c r="X52" s="10">
        <v>110.08</v>
      </c>
      <c r="Y52" s="10">
        <v>110.51</v>
      </c>
      <c r="Z52" s="10">
        <v>109.46</v>
      </c>
      <c r="AA52" s="10">
        <v>110.41</v>
      </c>
      <c r="AB52" s="95">
        <v>32560000</v>
      </c>
      <c r="AC52" s="10">
        <v>110.41</v>
      </c>
      <c r="AD52" s="2">
        <f t="shared" si="0"/>
        <v>1.0500000000000114</v>
      </c>
      <c r="AE52" s="138">
        <f t="shared" si="1"/>
        <v>1.4424843807423704E-2</v>
      </c>
    </row>
    <row r="53" spans="1:31" x14ac:dyDescent="0.25">
      <c r="O53" s="83">
        <v>1</v>
      </c>
      <c r="P53" s="83">
        <f t="shared" si="25"/>
        <v>120</v>
      </c>
      <c r="Q53" s="2"/>
      <c r="T53" s="108" t="s">
        <v>111</v>
      </c>
      <c r="U53" s="368">
        <v>14.44</v>
      </c>
      <c r="W53" s="133">
        <v>42678</v>
      </c>
      <c r="X53" s="10">
        <v>108.53</v>
      </c>
      <c r="Y53" s="10">
        <v>110.25</v>
      </c>
      <c r="Z53" s="10">
        <v>108.11</v>
      </c>
      <c r="AA53" s="10">
        <v>108.84</v>
      </c>
      <c r="AB53" s="95">
        <v>30837000</v>
      </c>
      <c r="AC53" s="10">
        <v>108.84</v>
      </c>
      <c r="AD53" s="2">
        <f t="shared" si="0"/>
        <v>2.1400000000000006</v>
      </c>
      <c r="AE53" s="138">
        <f t="shared" si="1"/>
        <v>-9.013930620049071E-3</v>
      </c>
    </row>
    <row r="54" spans="1:31" x14ac:dyDescent="0.25">
      <c r="O54" s="83">
        <v>0.99</v>
      </c>
      <c r="P54" s="83">
        <f t="shared" si="25"/>
        <v>118.8</v>
      </c>
      <c r="Q54" s="2"/>
      <c r="T54" s="108" t="s">
        <v>112</v>
      </c>
      <c r="U54" s="368">
        <v>8.31</v>
      </c>
      <c r="W54" s="133">
        <v>42677</v>
      </c>
      <c r="X54" s="10">
        <v>110.98</v>
      </c>
      <c r="Y54" s="10">
        <v>111.46</v>
      </c>
      <c r="Z54" s="10">
        <v>109.55</v>
      </c>
      <c r="AA54" s="10">
        <v>109.83</v>
      </c>
      <c r="AB54" s="95">
        <v>26932600</v>
      </c>
      <c r="AC54" s="10">
        <v>109.83</v>
      </c>
      <c r="AD54" s="2">
        <f t="shared" si="0"/>
        <v>1.9099999999999966</v>
      </c>
      <c r="AE54" s="138" t="e">
        <f t="shared" si="1"/>
        <v>#DIV/0!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117.6</v>
      </c>
      <c r="Q55" s="2"/>
      <c r="T55" s="108" t="s">
        <v>109</v>
      </c>
      <c r="U55" s="368" t="s">
        <v>440</v>
      </c>
      <c r="W55" s="133">
        <v>42677</v>
      </c>
      <c r="X55" s="10" t="s">
        <v>211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116.39999999999999</v>
      </c>
      <c r="W56" s="133">
        <v>42676</v>
      </c>
      <c r="X56" s="10">
        <v>111.4</v>
      </c>
      <c r="Y56" s="10">
        <v>112.35</v>
      </c>
      <c r="Z56" s="10">
        <v>111.23</v>
      </c>
      <c r="AA56" s="10">
        <v>111.59</v>
      </c>
      <c r="AB56" s="95">
        <v>28331700</v>
      </c>
      <c r="AC56" s="10">
        <v>111.02</v>
      </c>
      <c r="AD56" s="2">
        <f t="shared" si="0"/>
        <v>1.1199999999999903</v>
      </c>
      <c r="AE56" s="138">
        <f t="shared" si="1"/>
        <v>9.0155066714747711E-4</v>
      </c>
    </row>
    <row r="57" spans="1:31" x14ac:dyDescent="0.25">
      <c r="A57" s="265" t="s">
        <v>208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115.19999999999999</v>
      </c>
      <c r="W57" s="133">
        <v>42675</v>
      </c>
      <c r="X57" s="10">
        <v>113.46</v>
      </c>
      <c r="Y57" s="10">
        <v>113.77</v>
      </c>
      <c r="Z57" s="10">
        <v>110.53</v>
      </c>
      <c r="AA57" s="10">
        <v>111.49</v>
      </c>
      <c r="AB57" s="95">
        <v>43825800</v>
      </c>
      <c r="AC57" s="10">
        <v>110.92</v>
      </c>
      <c r="AD57" s="2">
        <f t="shared" si="0"/>
        <v>3.2399999999999949</v>
      </c>
      <c r="AE57" s="138">
        <f t="shared" si="1"/>
        <v>-1.8059490084985752E-2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114</v>
      </c>
      <c r="W58" s="133">
        <v>42674</v>
      </c>
      <c r="X58" s="10">
        <v>113.65</v>
      </c>
      <c r="Y58" s="10">
        <v>114.23</v>
      </c>
      <c r="Z58" s="10">
        <v>113.2</v>
      </c>
      <c r="AA58" s="10">
        <v>113.54</v>
      </c>
      <c r="AB58" s="95">
        <v>26419400</v>
      </c>
      <c r="AC58" s="10">
        <v>112.96</v>
      </c>
      <c r="AD58" s="2">
        <f t="shared" si="0"/>
        <v>1.0300000000000011</v>
      </c>
      <c r="AE58" s="138">
        <f t="shared" si="1"/>
        <v>-1.5909492663956915E-3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112.8</v>
      </c>
      <c r="W59" s="133">
        <v>42671</v>
      </c>
      <c r="X59" s="10">
        <v>113.87</v>
      </c>
      <c r="Y59" s="10">
        <v>115.21</v>
      </c>
      <c r="Z59" s="10">
        <v>113.45</v>
      </c>
      <c r="AA59" s="10">
        <v>113.72</v>
      </c>
      <c r="AB59" s="95">
        <v>37861700</v>
      </c>
      <c r="AC59" s="10">
        <v>113.14</v>
      </c>
      <c r="AD59" s="2">
        <f t="shared" si="0"/>
        <v>1.7599999999999909</v>
      </c>
      <c r="AE59" s="138">
        <f t="shared" si="1"/>
        <v>-6.6725197541703807E-3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111.60000000000001</v>
      </c>
      <c r="W60" s="133">
        <v>42670</v>
      </c>
      <c r="X60" s="10">
        <v>115.39</v>
      </c>
      <c r="Y60" s="10">
        <v>115.86</v>
      </c>
      <c r="Z60" s="10">
        <v>114.1</v>
      </c>
      <c r="AA60" s="10">
        <v>114.48</v>
      </c>
      <c r="AB60" s="95">
        <v>34562000</v>
      </c>
      <c r="AC60" s="10">
        <v>113.9</v>
      </c>
      <c r="AD60" s="2">
        <f t="shared" si="0"/>
        <v>1.7600000000000051</v>
      </c>
      <c r="AE60" s="138">
        <f t="shared" si="1"/>
        <v>-9.565217391304337E-3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110.4</v>
      </c>
      <c r="W61" s="133">
        <v>42669</v>
      </c>
      <c r="X61" s="10">
        <v>114.31</v>
      </c>
      <c r="Y61" s="10">
        <v>115.7</v>
      </c>
      <c r="Z61" s="10">
        <v>113.31</v>
      </c>
      <c r="AA61" s="10">
        <v>115.59</v>
      </c>
      <c r="AB61" s="95">
        <v>66134200</v>
      </c>
      <c r="AC61" s="10">
        <v>115</v>
      </c>
      <c r="AD61" s="2">
        <f t="shared" si="0"/>
        <v>2.3900000000000006</v>
      </c>
      <c r="AE61" s="138">
        <f t="shared" si="1"/>
        <v>-2.2524436889077792E-2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109.2</v>
      </c>
      <c r="W62" s="133">
        <v>42668</v>
      </c>
      <c r="X62" s="10">
        <v>117.95</v>
      </c>
      <c r="Y62" s="10">
        <v>118.36</v>
      </c>
      <c r="Z62" s="10">
        <v>117.31</v>
      </c>
      <c r="AA62" s="10">
        <v>118.25</v>
      </c>
      <c r="AB62" s="95">
        <v>48129000</v>
      </c>
      <c r="AC62" s="10">
        <v>117.65</v>
      </c>
      <c r="AD62" s="2">
        <f t="shared" si="0"/>
        <v>1.0499999999999972</v>
      </c>
      <c r="AE62" s="138">
        <f t="shared" si="1"/>
        <v>5.1260145237079779E-3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108</v>
      </c>
      <c r="W63" s="133">
        <v>42667</v>
      </c>
      <c r="X63" s="10">
        <v>117.1</v>
      </c>
      <c r="Y63" s="10">
        <v>117.74</v>
      </c>
      <c r="Z63" s="10">
        <v>117</v>
      </c>
      <c r="AA63" s="10">
        <v>117.65</v>
      </c>
      <c r="AB63" s="95">
        <v>23538700</v>
      </c>
      <c r="AC63" s="10">
        <v>117.05</v>
      </c>
      <c r="AD63" s="2">
        <f t="shared" si="0"/>
        <v>0.73999999999999488</v>
      </c>
      <c r="AE63" s="138">
        <f t="shared" si="1"/>
        <v>9.0517241379310942E-3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42664</v>
      </c>
      <c r="X64" s="10">
        <v>116.81</v>
      </c>
      <c r="Y64" s="10">
        <v>116.91</v>
      </c>
      <c r="Z64" s="10">
        <v>116.28</v>
      </c>
      <c r="AA64" s="10">
        <v>116.6</v>
      </c>
      <c r="AB64" s="95">
        <v>23192700</v>
      </c>
      <c r="AC64" s="10">
        <v>116</v>
      </c>
      <c r="AD64" s="2">
        <f t="shared" si="0"/>
        <v>0.62999999999999545</v>
      </c>
      <c r="AE64" s="138">
        <f t="shared" si="1"/>
        <v>-3.9498540271337701E-3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42663</v>
      </c>
      <c r="X65" s="10">
        <v>116.86</v>
      </c>
      <c r="Y65" s="10">
        <v>117.38</v>
      </c>
      <c r="Z65" s="10">
        <v>116.33</v>
      </c>
      <c r="AA65" s="10">
        <v>117.06</v>
      </c>
      <c r="AB65" s="95">
        <v>24125800</v>
      </c>
      <c r="AC65" s="10">
        <v>116.46</v>
      </c>
      <c r="AD65" s="2">
        <f t="shared" si="0"/>
        <v>1.0499999999999972</v>
      </c>
      <c r="AE65" s="138">
        <f t="shared" si="1"/>
        <v>-5.14933058702427E-4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42662</v>
      </c>
      <c r="X66" s="10">
        <v>117.25</v>
      </c>
      <c r="Y66" s="10">
        <v>117.76</v>
      </c>
      <c r="Z66" s="10">
        <v>113.8</v>
      </c>
      <c r="AA66" s="10">
        <v>117.12</v>
      </c>
      <c r="AB66" s="95">
        <v>20034600</v>
      </c>
      <c r="AC66" s="10">
        <v>116.52</v>
      </c>
      <c r="AD66" s="2">
        <f t="shared" si="0"/>
        <v>3.960000000000008</v>
      </c>
      <c r="AE66" s="138">
        <f t="shared" si="1"/>
        <v>-2.9947805253701665E-3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42661</v>
      </c>
      <c r="X67" s="10">
        <v>118.18</v>
      </c>
      <c r="Y67" s="10">
        <v>118.21</v>
      </c>
      <c r="Z67" s="10">
        <v>117.45</v>
      </c>
      <c r="AA67" s="10">
        <v>117.47</v>
      </c>
      <c r="AB67" s="95">
        <v>24553500</v>
      </c>
      <c r="AC67" s="10">
        <v>116.87</v>
      </c>
      <c r="AD67" s="2">
        <f>Y67-Z67</f>
        <v>0.75999999999999091</v>
      </c>
      <c r="AE67" s="138">
        <f>AC67/AC68-1</f>
        <v>-6.8405301410856545E-4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42660</v>
      </c>
      <c r="X68" s="10">
        <v>117.33</v>
      </c>
      <c r="Y68" s="10">
        <v>117.84</v>
      </c>
      <c r="Z68" s="10">
        <v>116.78</v>
      </c>
      <c r="AA68" s="10">
        <v>117.55</v>
      </c>
      <c r="AB68" s="95">
        <v>23624900</v>
      </c>
      <c r="AC68" s="10">
        <v>116.95</v>
      </c>
      <c r="AD68" s="2">
        <f>Y68-Z68</f>
        <v>1.0600000000000023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1" priority="35">
      <formula>N19&gt;0</formula>
    </cfRule>
    <cfRule type="expression" dxfId="9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69" priority="21">
      <formula>F25&gt;0</formula>
    </cfRule>
    <cfRule type="expression" dxfId="968" priority="22">
      <formula>F25&lt;0</formula>
    </cfRule>
  </conditionalFormatting>
  <conditionalFormatting sqref="H25:H47">
    <cfRule type="expression" dxfId="967" priority="19">
      <formula>H25&gt;0</formula>
    </cfRule>
    <cfRule type="expression" dxfId="966" priority="20">
      <formula>H25&lt;0</formula>
    </cfRule>
  </conditionalFormatting>
  <conditionalFormatting sqref="I25:I27">
    <cfRule type="expression" dxfId="965" priority="15">
      <formula>I25&gt;0</formula>
    </cfRule>
    <cfRule type="expression" dxfId="964" priority="16">
      <formula>I25&lt;0</formula>
    </cfRule>
  </conditionalFormatting>
  <conditionalFormatting sqref="Q7">
    <cfRule type="expression" dxfId="963" priority="5">
      <formula>Q7&gt;0</formula>
    </cfRule>
    <cfRule type="expression" dxfId="962" priority="6">
      <formula>Q7&lt;0</formula>
    </cfRule>
  </conditionalFormatting>
  <conditionalFormatting sqref="Q8">
    <cfRule type="expression" dxfId="961" priority="3">
      <formula>Q8&gt;0</formula>
    </cfRule>
    <cfRule type="expression" dxfId="9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260</v>
      </c>
      <c r="W2" s="133">
        <v>42755</v>
      </c>
      <c r="X2" s="10">
        <v>75.989999999999995</v>
      </c>
      <c r="Y2" s="10">
        <v>76.91</v>
      </c>
      <c r="Z2" s="10">
        <v>75.39</v>
      </c>
      <c r="AA2" s="10">
        <v>76.2</v>
      </c>
      <c r="AB2" s="95">
        <v>8382000</v>
      </c>
      <c r="AC2" s="10">
        <v>76.2</v>
      </c>
      <c r="AD2" s="2">
        <f>Y2-Z2</f>
        <v>1.519999999999996</v>
      </c>
      <c r="AE2" s="138">
        <f>AC2/AC3-1</f>
        <v>-6.3893597600729324E-3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76.2</v>
      </c>
      <c r="T3" s="1">
        <v>42572</v>
      </c>
      <c r="U3" t="s">
        <v>251</v>
      </c>
      <c r="W3" s="133">
        <v>42754</v>
      </c>
      <c r="X3" s="10">
        <v>77.61</v>
      </c>
      <c r="Y3" s="10">
        <v>77.78</v>
      </c>
      <c r="Z3" s="10">
        <v>76.61</v>
      </c>
      <c r="AA3" s="10">
        <v>76.69</v>
      </c>
      <c r="AB3" s="95">
        <v>8111400</v>
      </c>
      <c r="AC3" s="10">
        <v>76.69</v>
      </c>
      <c r="AD3" s="2">
        <f t="shared" ref="AD3:AD66" si="0">Y3-Z3</f>
        <v>1.1700000000000017</v>
      </c>
      <c r="AE3" s="138">
        <f t="shared" ref="AE3:AE66" si="1">AC3/AC4-1</f>
        <v>-1.0323912762937093E-2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76.2</v>
      </c>
      <c r="R4" s="505">
        <v>-6.4000000000000003E-3</v>
      </c>
      <c r="T4" s="163"/>
      <c r="U4" s="1"/>
      <c r="W4" s="133">
        <v>42753</v>
      </c>
      <c r="X4" s="10">
        <v>77.11</v>
      </c>
      <c r="Y4" s="10">
        <v>77.61</v>
      </c>
      <c r="Z4" s="10">
        <v>76.510000000000005</v>
      </c>
      <c r="AA4" s="10">
        <v>77.489999999999995</v>
      </c>
      <c r="AB4" s="95">
        <v>5988400</v>
      </c>
      <c r="AC4" s="10">
        <v>77.489999999999995</v>
      </c>
      <c r="AD4" s="2">
        <f t="shared" si="0"/>
        <v>1.0999999999999943</v>
      </c>
      <c r="AE4" s="138">
        <f t="shared" si="1"/>
        <v>1.1618798955613574E-2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77.400000000000006</v>
      </c>
      <c r="Y5" s="10">
        <v>77.7</v>
      </c>
      <c r="Z5" s="10">
        <v>76.47</v>
      </c>
      <c r="AA5" s="10">
        <v>76.599999999999994</v>
      </c>
      <c r="AB5" s="95">
        <v>6450300</v>
      </c>
      <c r="AC5" s="10">
        <v>76.599999999999994</v>
      </c>
      <c r="AD5" s="2">
        <f t="shared" si="0"/>
        <v>1.230000000000004</v>
      </c>
      <c r="AE5" s="138">
        <f t="shared" si="1"/>
        <v>-2.6102845210140835E-4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76.930000000000007</v>
      </c>
      <c r="Y6" s="10">
        <v>77.63</v>
      </c>
      <c r="Z6" s="10">
        <v>76.41</v>
      </c>
      <c r="AA6" s="10">
        <v>76.62</v>
      </c>
      <c r="AB6" s="95">
        <v>3454300</v>
      </c>
      <c r="AC6" s="10">
        <v>76.62</v>
      </c>
      <c r="AD6" s="2">
        <f t="shared" si="0"/>
        <v>1.2199999999999989</v>
      </c>
      <c r="AE6" s="138">
        <f t="shared" si="1"/>
        <v>-3.3818938605617577E-3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42747</v>
      </c>
      <c r="X7" s="10">
        <v>76.83</v>
      </c>
      <c r="Y7" s="10">
        <v>76.95</v>
      </c>
      <c r="Z7" s="10">
        <v>75.84</v>
      </c>
      <c r="AA7" s="10">
        <v>76.88</v>
      </c>
      <c r="AB7" s="95">
        <v>4056700</v>
      </c>
      <c r="AC7" s="10">
        <v>76.88</v>
      </c>
      <c r="AD7" s="2">
        <f t="shared" si="0"/>
        <v>1.1099999999999994</v>
      </c>
      <c r="AE7" s="138">
        <f t="shared" si="1"/>
        <v>-3.9006631127291858E-4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76.67</v>
      </c>
      <c r="Y8" s="10">
        <v>77.44</v>
      </c>
      <c r="Z8" s="10">
        <v>76.099999999999994</v>
      </c>
      <c r="AA8" s="10">
        <v>76.91</v>
      </c>
      <c r="AB8" s="95">
        <v>4500200</v>
      </c>
      <c r="AC8" s="10">
        <v>76.91</v>
      </c>
      <c r="AD8" s="2">
        <f t="shared" si="0"/>
        <v>1.3400000000000034</v>
      </c>
      <c r="AE8" s="138">
        <f t="shared" si="1"/>
        <v>3.392041748206065E-3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76.52</v>
      </c>
      <c r="Y9" s="10">
        <v>78</v>
      </c>
      <c r="Z9" s="10">
        <v>76.12</v>
      </c>
      <c r="AA9" s="10">
        <v>76.650000000000006</v>
      </c>
      <c r="AB9" s="95">
        <v>9561400</v>
      </c>
      <c r="AC9" s="10">
        <v>76.650000000000006</v>
      </c>
      <c r="AD9" s="2">
        <f t="shared" si="0"/>
        <v>1.8799999999999955</v>
      </c>
      <c r="AE9" s="138">
        <f t="shared" si="1"/>
        <v>1.0413920379646724E-2</v>
      </c>
    </row>
    <row r="10" spans="1:31" x14ac:dyDescent="0.25">
      <c r="H10" s="72"/>
      <c r="O10" s="11" t="s">
        <v>214</v>
      </c>
      <c r="P10" s="34"/>
      <c r="Q10" s="2">
        <f>M48</f>
        <v>231.53999999999996</v>
      </c>
      <c r="W10" s="133">
        <v>42744</v>
      </c>
      <c r="X10" s="10">
        <v>76.14</v>
      </c>
      <c r="Y10" s="10">
        <v>76.5</v>
      </c>
      <c r="Z10" s="10">
        <v>75.53</v>
      </c>
      <c r="AA10" s="10">
        <v>75.86</v>
      </c>
      <c r="AB10" s="95">
        <v>4800900</v>
      </c>
      <c r="AC10" s="10">
        <v>75.86</v>
      </c>
      <c r="AD10" s="2">
        <f t="shared" si="0"/>
        <v>0.96999999999999886</v>
      </c>
      <c r="AE10" s="138">
        <f t="shared" si="1"/>
        <v>5.1676162713660823E-3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1.6799999999999999E-2</v>
      </c>
      <c r="W11" s="133">
        <v>42741</v>
      </c>
      <c r="X11" s="10">
        <v>75.400000000000006</v>
      </c>
      <c r="Y11" s="10">
        <v>75.92</v>
      </c>
      <c r="Z11" s="10">
        <v>75.06</v>
      </c>
      <c r="AA11" s="10">
        <v>75.47</v>
      </c>
      <c r="AB11" s="95">
        <v>3089600</v>
      </c>
      <c r="AC11" s="10">
        <v>75.47</v>
      </c>
      <c r="AD11" s="2">
        <f t="shared" si="0"/>
        <v>0.85999999999999943</v>
      </c>
      <c r="AE11" s="138">
        <f t="shared" si="1"/>
        <v>1.9915029208710244E-3</v>
      </c>
    </row>
    <row r="12" spans="1:31" x14ac:dyDescent="0.25">
      <c r="H12" s="72"/>
      <c r="W12" s="133">
        <v>42740</v>
      </c>
      <c r="X12" s="10">
        <v>76</v>
      </c>
      <c r="Y12" s="10">
        <v>76.180000000000007</v>
      </c>
      <c r="Z12" s="10">
        <v>74.819999999999993</v>
      </c>
      <c r="AA12" s="10">
        <v>75.319999999999993</v>
      </c>
      <c r="AB12" s="95">
        <v>3383000</v>
      </c>
      <c r="AC12" s="10">
        <v>75.319999999999993</v>
      </c>
      <c r="AD12" s="2">
        <f t="shared" si="0"/>
        <v>1.3600000000000136</v>
      </c>
      <c r="AE12" s="138">
        <f t="shared" si="1"/>
        <v>-1.2326252294781126E-2</v>
      </c>
    </row>
    <row r="13" spans="1:31" x14ac:dyDescent="0.25">
      <c r="H13" s="72"/>
      <c r="W13" s="133">
        <v>42739</v>
      </c>
      <c r="X13" s="10">
        <v>75.260000000000005</v>
      </c>
      <c r="Y13" s="10">
        <v>76.55</v>
      </c>
      <c r="Z13" s="10">
        <v>75.06</v>
      </c>
      <c r="AA13" s="10">
        <v>76.260000000000005</v>
      </c>
      <c r="AB13" s="95">
        <v>4635800</v>
      </c>
      <c r="AC13" s="10">
        <v>76.260000000000005</v>
      </c>
      <c r="AD13" s="2">
        <f t="shared" si="0"/>
        <v>1.4899999999999949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315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74.89</v>
      </c>
      <c r="Y15" s="10">
        <v>75.75</v>
      </c>
      <c r="Z15" s="10">
        <v>74.739999999999995</v>
      </c>
      <c r="AA15" s="10">
        <v>75.349999999999994</v>
      </c>
      <c r="AB15" s="95">
        <v>5853900</v>
      </c>
      <c r="AC15" s="10">
        <v>75.03</v>
      </c>
      <c r="AD15" s="2">
        <f t="shared" si="0"/>
        <v>1.0100000000000051</v>
      </c>
      <c r="AE15" s="138">
        <f t="shared" si="1"/>
        <v>1.7080113867425917E-2</v>
      </c>
    </row>
    <row r="16" spans="1:31" x14ac:dyDescent="0.25">
      <c r="H16" s="72"/>
      <c r="W16" s="133">
        <v>42734</v>
      </c>
      <c r="X16" s="10">
        <v>73.959999999999994</v>
      </c>
      <c r="Y16" s="10">
        <v>74.34</v>
      </c>
      <c r="Z16" s="10">
        <v>73.84</v>
      </c>
      <c r="AA16" s="10">
        <v>74.08</v>
      </c>
      <c r="AB16" s="95">
        <v>3378800</v>
      </c>
      <c r="AC16" s="10">
        <v>73.77</v>
      </c>
      <c r="AD16" s="2">
        <f t="shared" si="0"/>
        <v>0.5</v>
      </c>
      <c r="AE16" s="138">
        <f t="shared" si="1"/>
        <v>2.173617714984255E-3</v>
      </c>
    </row>
    <row r="17" spans="1:31" x14ac:dyDescent="0.25">
      <c r="W17" s="133">
        <v>42733</v>
      </c>
      <c r="X17" s="10">
        <v>74.27</v>
      </c>
      <c r="Y17" s="10">
        <v>74.680000000000007</v>
      </c>
      <c r="Z17" s="10">
        <v>73.5</v>
      </c>
      <c r="AA17" s="10">
        <v>73.92</v>
      </c>
      <c r="AB17" s="95">
        <v>2573700</v>
      </c>
      <c r="AC17" s="10">
        <v>73.61</v>
      </c>
      <c r="AD17" s="2">
        <f t="shared" si="0"/>
        <v>1.1800000000000068</v>
      </c>
      <c r="AE17" s="138">
        <f t="shared" si="1"/>
        <v>-5.9419311276164288E-3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75.03</v>
      </c>
      <c r="Y18" s="10">
        <v>75.38</v>
      </c>
      <c r="Z18" s="10">
        <v>74.150000000000006</v>
      </c>
      <c r="AA18" s="10">
        <v>74.37</v>
      </c>
      <c r="AB18" s="95">
        <v>2517300</v>
      </c>
      <c r="AC18" s="10">
        <v>74.05</v>
      </c>
      <c r="AD18" s="2">
        <f t="shared" si="0"/>
        <v>1.2299999999999898</v>
      </c>
      <c r="AE18" s="138">
        <f t="shared" si="1"/>
        <v>-8.1703723546745488E-3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75.099999999999994</v>
      </c>
      <c r="Y19" s="10">
        <v>75.11</v>
      </c>
      <c r="Z19" s="10">
        <v>74.790000000000006</v>
      </c>
      <c r="AA19" s="10">
        <v>74.98</v>
      </c>
      <c r="AB19" s="95">
        <v>2049400</v>
      </c>
      <c r="AC19" s="10">
        <v>74.66</v>
      </c>
      <c r="AD19" s="2">
        <f t="shared" si="0"/>
        <v>0.31999999999999318</v>
      </c>
      <c r="AE19" s="138">
        <f t="shared" si="1"/>
        <v>1.3395847287323015E-4</v>
      </c>
    </row>
    <row r="20" spans="1:31" x14ac:dyDescent="0.25">
      <c r="W20" s="133">
        <v>42727</v>
      </c>
      <c r="X20" s="10">
        <v>74.739999999999995</v>
      </c>
      <c r="Y20" s="10">
        <v>75.239999999999995</v>
      </c>
      <c r="Z20" s="10">
        <v>74.739999999999995</v>
      </c>
      <c r="AA20" s="10">
        <v>74.97</v>
      </c>
      <c r="AB20" s="95">
        <v>1957500</v>
      </c>
      <c r="AC20" s="10">
        <v>74.650000000000006</v>
      </c>
      <c r="AD20" s="2">
        <f t="shared" si="0"/>
        <v>0.5</v>
      </c>
      <c r="AE20" s="138">
        <f t="shared" si="1"/>
        <v>5.2518179369782647E-3</v>
      </c>
    </row>
    <row r="21" spans="1:31" x14ac:dyDescent="0.25">
      <c r="W21" s="133">
        <v>42726</v>
      </c>
      <c r="X21" s="10">
        <v>75</v>
      </c>
      <c r="Y21" s="10">
        <v>75.37</v>
      </c>
      <c r="Z21" s="10">
        <v>74.5</v>
      </c>
      <c r="AA21" s="10">
        <v>74.58</v>
      </c>
      <c r="AB21" s="95">
        <v>2865200</v>
      </c>
      <c r="AC21" s="10">
        <v>74.260000000000005</v>
      </c>
      <c r="AD21" s="2">
        <f t="shared" si="0"/>
        <v>0.87000000000000455</v>
      </c>
      <c r="AE21" s="138">
        <f t="shared" si="1"/>
        <v>-9.8666666666665792E-3</v>
      </c>
    </row>
    <row r="22" spans="1:31" x14ac:dyDescent="0.25">
      <c r="W22" s="133">
        <v>42725</v>
      </c>
      <c r="X22" s="10">
        <v>75.11</v>
      </c>
      <c r="Y22" s="10">
        <v>75.569999999999993</v>
      </c>
      <c r="Z22" s="10">
        <v>74.69</v>
      </c>
      <c r="AA22" s="10">
        <v>75.319999999999993</v>
      </c>
      <c r="AB22" s="95">
        <v>3244500</v>
      </c>
      <c r="AC22" s="10">
        <v>75</v>
      </c>
      <c r="AD22" s="2">
        <f t="shared" si="0"/>
        <v>0.87999999999999545</v>
      </c>
      <c r="AE22" s="138">
        <f t="shared" si="1"/>
        <v>3.4787262510036498E-3</v>
      </c>
    </row>
    <row r="23" spans="1:31" x14ac:dyDescent="0.25">
      <c r="W23" s="133">
        <v>42724</v>
      </c>
      <c r="X23" s="10">
        <v>75</v>
      </c>
      <c r="Y23" s="10">
        <v>75.5</v>
      </c>
      <c r="Z23" s="10">
        <v>74.53</v>
      </c>
      <c r="AA23" s="10">
        <v>75.06</v>
      </c>
      <c r="AB23" s="95">
        <v>3244900</v>
      </c>
      <c r="AC23" s="10">
        <v>74.739999999999995</v>
      </c>
      <c r="AD23" s="2">
        <f t="shared" si="0"/>
        <v>0.96999999999999886</v>
      </c>
      <c r="AE23" s="138">
        <f t="shared" si="1"/>
        <v>6.8705375185234008E-3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74.680000000000007</v>
      </c>
      <c r="Y24" s="10">
        <v>75.13</v>
      </c>
      <c r="Z24" s="10">
        <v>74.14</v>
      </c>
      <c r="AA24" s="10">
        <v>74.55</v>
      </c>
      <c r="AB24" s="95">
        <v>3076600</v>
      </c>
      <c r="AC24" s="10">
        <v>74.23</v>
      </c>
      <c r="AD24" s="2">
        <f t="shared" si="0"/>
        <v>0.98999999999999488</v>
      </c>
      <c r="AE24" s="138">
        <f t="shared" si="1"/>
        <v>-6.0257096946974009E-3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42720</v>
      </c>
      <c r="X25" s="10">
        <v>75.290000000000006</v>
      </c>
      <c r="Y25" s="10">
        <v>75.38</v>
      </c>
      <c r="Z25" s="10">
        <v>74.58</v>
      </c>
      <c r="AA25" s="10">
        <v>75</v>
      </c>
      <c r="AB25" s="95">
        <v>8200600</v>
      </c>
      <c r="AC25" s="10">
        <v>74.680000000000007</v>
      </c>
      <c r="AD25" s="2">
        <f t="shared" si="0"/>
        <v>0.79999999999999716</v>
      </c>
      <c r="AE25" s="138">
        <f t="shared" si="1"/>
        <v>8.0407397480564136E-4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42719</v>
      </c>
      <c r="X26" s="10">
        <v>74.540000000000006</v>
      </c>
      <c r="Y26" s="10">
        <v>75.739999999999995</v>
      </c>
      <c r="Z26" s="10">
        <v>74.34</v>
      </c>
      <c r="AA26" s="10">
        <v>74.94</v>
      </c>
      <c r="AB26" s="95">
        <v>4061600</v>
      </c>
      <c r="AC26" s="10">
        <v>74.62</v>
      </c>
      <c r="AD26" s="2">
        <f t="shared" si="0"/>
        <v>1.3999999999999915</v>
      </c>
      <c r="AE26" s="138">
        <f t="shared" si="1"/>
        <v>1.1659436008676805E-2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42718</v>
      </c>
      <c r="X27" s="10">
        <v>73.53</v>
      </c>
      <c r="Y27" s="10">
        <v>75.73</v>
      </c>
      <c r="Z27" s="10">
        <v>73.239999999999995</v>
      </c>
      <c r="AA27" s="10">
        <v>74.069999999999993</v>
      </c>
      <c r="AB27" s="95">
        <v>5415800</v>
      </c>
      <c r="AC27" s="10">
        <v>73.760000000000005</v>
      </c>
      <c r="AD27" s="2">
        <f t="shared" si="0"/>
        <v>2.4900000000000091</v>
      </c>
      <c r="AE27" s="138">
        <f t="shared" si="1"/>
        <v>3.1279749762003206E-3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42717</v>
      </c>
      <c r="X28" s="10">
        <v>73.67</v>
      </c>
      <c r="Y28" s="10">
        <v>74.23</v>
      </c>
      <c r="Z28" s="10">
        <v>73.11</v>
      </c>
      <c r="AA28" s="10">
        <v>73.84</v>
      </c>
      <c r="AB28" s="95">
        <v>2892900</v>
      </c>
      <c r="AC28" s="10">
        <v>73.53</v>
      </c>
      <c r="AD28" s="2">
        <f t="shared" si="0"/>
        <v>1.1200000000000045</v>
      </c>
      <c r="AE28" s="138">
        <f t="shared" si="1"/>
        <v>3.5485191756516876E-3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42716</v>
      </c>
      <c r="X29" s="10">
        <v>74.7</v>
      </c>
      <c r="Y29" s="10">
        <v>74.7</v>
      </c>
      <c r="Z29" s="10">
        <v>73.150000000000006</v>
      </c>
      <c r="AA29" s="10">
        <v>73.58</v>
      </c>
      <c r="AB29" s="95">
        <v>3654900</v>
      </c>
      <c r="AC29" s="10">
        <v>73.27</v>
      </c>
      <c r="AD29" s="2">
        <f t="shared" si="0"/>
        <v>1.5499999999999972</v>
      </c>
      <c r="AE29" s="138">
        <f t="shared" si="1"/>
        <v>-1.5849563465413108E-2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42713</v>
      </c>
      <c r="X30" s="10">
        <v>74.84</v>
      </c>
      <c r="Y30" s="10">
        <v>74.91</v>
      </c>
      <c r="Z30" s="10">
        <v>74.290000000000006</v>
      </c>
      <c r="AA30" s="10">
        <v>74.77</v>
      </c>
      <c r="AB30" s="95">
        <v>2566900</v>
      </c>
      <c r="AC30" s="10">
        <v>74.45</v>
      </c>
      <c r="AD30" s="2">
        <f t="shared" si="0"/>
        <v>0.61999999999999034</v>
      </c>
      <c r="AE30" s="138">
        <f t="shared" si="1"/>
        <v>-1.8769272020378036E-3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42712</v>
      </c>
      <c r="X31" s="10">
        <v>74.8</v>
      </c>
      <c r="Y31" s="10">
        <v>75.2</v>
      </c>
      <c r="Z31" s="10">
        <v>73.989999999999995</v>
      </c>
      <c r="AA31" s="10">
        <v>74.91</v>
      </c>
      <c r="AB31" s="95">
        <v>3415800</v>
      </c>
      <c r="AC31" s="10">
        <v>74.59</v>
      </c>
      <c r="AD31" s="2">
        <f t="shared" si="0"/>
        <v>1.210000000000008</v>
      </c>
      <c r="AE31" s="138">
        <f t="shared" si="1"/>
        <v>8.3817763958362601E-3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259</v>
      </c>
      <c r="W32" s="133">
        <v>42711</v>
      </c>
      <c r="X32" s="10">
        <v>72.47</v>
      </c>
      <c r="Y32" s="10">
        <v>74.72</v>
      </c>
      <c r="Z32" s="10">
        <v>72.23</v>
      </c>
      <c r="AA32" s="10">
        <v>74.290000000000006</v>
      </c>
      <c r="AB32" s="95">
        <v>5801500</v>
      </c>
      <c r="AC32" s="10">
        <v>73.97</v>
      </c>
      <c r="AD32" s="2">
        <f t="shared" si="0"/>
        <v>2.4899999999999949</v>
      </c>
      <c r="AE32" s="138">
        <f t="shared" si="1"/>
        <v>2.7361111111111169E-2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42710</v>
      </c>
      <c r="X33" s="10">
        <v>72.47</v>
      </c>
      <c r="Y33" s="10">
        <v>72.739999999999995</v>
      </c>
      <c r="Z33" s="10">
        <v>72.08</v>
      </c>
      <c r="AA33" s="10">
        <v>72.31</v>
      </c>
      <c r="AB33" s="95">
        <v>3843900</v>
      </c>
      <c r="AC33" s="10">
        <v>72</v>
      </c>
      <c r="AD33" s="2">
        <f t="shared" si="0"/>
        <v>0.65999999999999659</v>
      </c>
      <c r="AE33" s="138">
        <f t="shared" si="1"/>
        <v>3.9040713887339429E-3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42709</v>
      </c>
      <c r="X34" s="10">
        <v>72.33</v>
      </c>
      <c r="Y34" s="10">
        <v>72.64</v>
      </c>
      <c r="Z34" s="10">
        <v>71.989999999999995</v>
      </c>
      <c r="AA34" s="10">
        <v>72.03</v>
      </c>
      <c r="AB34" s="95">
        <v>3929100</v>
      </c>
      <c r="AC34" s="10">
        <v>71.72</v>
      </c>
      <c r="AD34" s="2">
        <f t="shared" si="0"/>
        <v>0.65000000000000568</v>
      </c>
      <c r="AE34" s="138">
        <f t="shared" si="1"/>
        <v>2.3759608665270271E-3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42706</v>
      </c>
      <c r="X35" s="10">
        <v>72.52</v>
      </c>
      <c r="Y35" s="10">
        <v>72.66</v>
      </c>
      <c r="Z35" s="10">
        <v>71.430000000000007</v>
      </c>
      <c r="AA35" s="10">
        <v>71.86</v>
      </c>
      <c r="AB35" s="95">
        <v>2959100</v>
      </c>
      <c r="AC35" s="10">
        <v>71.55</v>
      </c>
      <c r="AD35" s="2">
        <f t="shared" si="0"/>
        <v>1.2299999999999898</v>
      </c>
      <c r="AE35" s="138">
        <f t="shared" si="1"/>
        <v>-9.2772085294932083E-3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42705</v>
      </c>
      <c r="X36" s="10">
        <v>72.45</v>
      </c>
      <c r="Y36" s="10">
        <v>72.77</v>
      </c>
      <c r="Z36" s="10">
        <v>71.78</v>
      </c>
      <c r="AA36" s="10">
        <v>72.53</v>
      </c>
      <c r="AB36" s="95">
        <v>4298200</v>
      </c>
      <c r="AC36" s="10">
        <v>72.22</v>
      </c>
      <c r="AD36" s="2">
        <f t="shared" si="0"/>
        <v>0.98999999999999488</v>
      </c>
      <c r="AE36" s="138">
        <f t="shared" si="1"/>
        <v>6.8311724522513995E-3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72</v>
      </c>
      <c r="Y37" s="10">
        <v>72.33</v>
      </c>
      <c r="Z37" s="10">
        <v>71.78</v>
      </c>
      <c r="AA37" s="10">
        <v>72.040000000000006</v>
      </c>
      <c r="AB37" s="95">
        <v>4812500</v>
      </c>
      <c r="AC37" s="10">
        <v>71.73</v>
      </c>
      <c r="AD37" s="2">
        <f t="shared" si="0"/>
        <v>0.54999999999999716</v>
      </c>
      <c r="AE37" s="138">
        <f t="shared" si="1"/>
        <v>7.5853350189634128E-3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72.2</v>
      </c>
      <c r="Y38" s="10">
        <v>72.260000000000005</v>
      </c>
      <c r="Z38" s="10">
        <v>71.39</v>
      </c>
      <c r="AA38" s="10">
        <v>71.489999999999995</v>
      </c>
      <c r="AB38" s="95">
        <v>3814800</v>
      </c>
      <c r="AC38" s="10">
        <v>71.19</v>
      </c>
      <c r="AD38" s="2">
        <f t="shared" si="0"/>
        <v>0.87000000000000455</v>
      </c>
      <c r="AE38" s="138">
        <f t="shared" si="1"/>
        <v>-8.7719298245613198E-3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72.53</v>
      </c>
      <c r="Y39" s="10">
        <v>72.77</v>
      </c>
      <c r="Z39" s="10">
        <v>71.97</v>
      </c>
      <c r="AA39" s="10">
        <v>72.13</v>
      </c>
      <c r="AB39" s="95">
        <v>4467700</v>
      </c>
      <c r="AC39" s="10">
        <v>71.819999999999993</v>
      </c>
      <c r="AD39" s="2">
        <f t="shared" si="0"/>
        <v>0.79999999999999716</v>
      </c>
      <c r="AE39" s="138">
        <f t="shared" si="1"/>
        <v>-1.0062026188835338E-2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72.97</v>
      </c>
      <c r="Y40" s="10">
        <v>73.180000000000007</v>
      </c>
      <c r="Z40" s="10">
        <v>72.459999999999994</v>
      </c>
      <c r="AA40" s="10">
        <v>72.86</v>
      </c>
      <c r="AB40" s="95">
        <v>1900400</v>
      </c>
      <c r="AC40" s="10">
        <v>72.55</v>
      </c>
      <c r="AD40" s="2">
        <f t="shared" si="0"/>
        <v>0.72000000000001307</v>
      </c>
      <c r="AE40" s="138">
        <f t="shared" si="1"/>
        <v>-2.7559597629867039E-4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83.820000000000007</v>
      </c>
      <c r="Q41" s="2"/>
      <c r="W41" s="133">
        <v>42697</v>
      </c>
      <c r="X41" s="10">
        <v>71.94</v>
      </c>
      <c r="Y41" s="10">
        <v>72.92</v>
      </c>
      <c r="Z41" s="10">
        <v>71.510000000000005</v>
      </c>
      <c r="AA41" s="10">
        <v>72.88</v>
      </c>
      <c r="AB41" s="95">
        <v>4661400</v>
      </c>
      <c r="AC41" s="10">
        <v>72.569999999999993</v>
      </c>
      <c r="AD41" s="2">
        <f t="shared" si="0"/>
        <v>1.4099999999999966</v>
      </c>
      <c r="AE41" s="138">
        <f t="shared" si="1"/>
        <v>1.6101932231867622E-2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83.058000000000007</v>
      </c>
      <c r="Q42" s="2"/>
      <c r="T42" s="91" t="s">
        <v>113</v>
      </c>
      <c r="W42" s="133">
        <v>42696</v>
      </c>
      <c r="X42" s="10">
        <v>71.819999999999993</v>
      </c>
      <c r="Y42" s="10">
        <v>71.88</v>
      </c>
      <c r="Z42" s="10">
        <v>70.87</v>
      </c>
      <c r="AA42" s="10">
        <v>71.72</v>
      </c>
      <c r="AB42" s="95">
        <v>4086200</v>
      </c>
      <c r="AC42" s="10">
        <v>71.42</v>
      </c>
      <c r="AD42" s="2">
        <f t="shared" si="0"/>
        <v>1.0099999999999909</v>
      </c>
      <c r="AE42" s="138">
        <f t="shared" si="1"/>
        <v>2.5266704098820814E-3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82.296000000000006</v>
      </c>
      <c r="Q43" s="2"/>
      <c r="T43" s="128" t="s">
        <v>98</v>
      </c>
      <c r="U43" s="129">
        <v>76.69</v>
      </c>
      <c r="W43" s="133">
        <v>42695</v>
      </c>
      <c r="X43" s="10">
        <v>71.31</v>
      </c>
      <c r="Y43" s="10">
        <v>71.67</v>
      </c>
      <c r="Z43" s="10">
        <v>70.959999999999994</v>
      </c>
      <c r="AA43" s="10">
        <v>71.540000000000006</v>
      </c>
      <c r="AB43" s="95">
        <v>3368200</v>
      </c>
      <c r="AC43" s="10">
        <v>71.239999999999995</v>
      </c>
      <c r="AD43" s="2">
        <f t="shared" si="0"/>
        <v>0.71000000000000796</v>
      </c>
      <c r="AE43" s="138">
        <f t="shared" si="1"/>
        <v>7.637906647807613E-3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81.534000000000006</v>
      </c>
      <c r="Q44" s="2"/>
      <c r="T44" s="93" t="s">
        <v>99</v>
      </c>
      <c r="U44" s="130">
        <v>75.989999999999995</v>
      </c>
      <c r="W44" s="133">
        <v>42692</v>
      </c>
      <c r="X44" s="10">
        <v>71.53</v>
      </c>
      <c r="Y44" s="10">
        <v>71.599999999999994</v>
      </c>
      <c r="Z44" s="10">
        <v>70.77</v>
      </c>
      <c r="AA44" s="10">
        <v>71</v>
      </c>
      <c r="AB44" s="95">
        <v>5430600</v>
      </c>
      <c r="AC44" s="10">
        <v>70.7</v>
      </c>
      <c r="AD44" s="2">
        <f t="shared" si="0"/>
        <v>0.82999999999999829</v>
      </c>
      <c r="AE44" s="138">
        <f t="shared" si="1"/>
        <v>-1.0912143256855078E-2</v>
      </c>
    </row>
    <row r="45" spans="2:31" x14ac:dyDescent="0.25">
      <c r="O45" s="83">
        <v>1.06</v>
      </c>
      <c r="P45" s="83">
        <f t="shared" si="36"/>
        <v>80.772000000000006</v>
      </c>
      <c r="Q45" s="2"/>
      <c r="T45" s="93" t="s">
        <v>100</v>
      </c>
      <c r="U45" s="130" t="s">
        <v>129</v>
      </c>
      <c r="W45" s="133">
        <v>42691</v>
      </c>
      <c r="X45" s="10">
        <v>71.36</v>
      </c>
      <c r="Y45" s="10">
        <v>72</v>
      </c>
      <c r="Z45" s="10">
        <v>71.319999999999993</v>
      </c>
      <c r="AA45" s="10">
        <v>71.78</v>
      </c>
      <c r="AB45" s="95">
        <v>3797400</v>
      </c>
      <c r="AC45" s="10">
        <v>71.48</v>
      </c>
      <c r="AD45" s="2">
        <f t="shared" si="0"/>
        <v>0.68000000000000682</v>
      </c>
      <c r="AE45" s="138">
        <f t="shared" si="1"/>
        <v>1.4009526478007128E-3</v>
      </c>
    </row>
    <row r="46" spans="2:31" x14ac:dyDescent="0.25">
      <c r="O46" s="83">
        <v>1.05</v>
      </c>
      <c r="P46" s="83">
        <f t="shared" si="36"/>
        <v>80.010000000000005</v>
      </c>
      <c r="Q46" s="2"/>
      <c r="T46" s="93" t="s">
        <v>101</v>
      </c>
      <c r="U46" s="130" t="s">
        <v>129</v>
      </c>
      <c r="W46" s="133">
        <v>42690</v>
      </c>
      <c r="X46" s="10">
        <v>71.95</v>
      </c>
      <c r="Y46" s="10">
        <v>72.400000000000006</v>
      </c>
      <c r="Z46" s="10">
        <v>71.28</v>
      </c>
      <c r="AA46" s="10">
        <v>71.680000000000007</v>
      </c>
      <c r="AB46" s="95">
        <v>4663700</v>
      </c>
      <c r="AC46" s="10">
        <v>71.38</v>
      </c>
      <c r="AD46" s="2">
        <f t="shared" si="0"/>
        <v>1.1200000000000045</v>
      </c>
      <c r="AE46" s="138">
        <f t="shared" si="1"/>
        <v>-1.0809312638580981E-2</v>
      </c>
    </row>
    <row r="47" spans="2:31" x14ac:dyDescent="0.25">
      <c r="O47" s="83">
        <v>1.04</v>
      </c>
      <c r="P47" s="83">
        <f t="shared" si="36"/>
        <v>79.248000000000005</v>
      </c>
      <c r="Q47" s="2"/>
      <c r="T47" s="93" t="s">
        <v>102</v>
      </c>
      <c r="U47" s="130">
        <v>80.16</v>
      </c>
      <c r="W47" s="133">
        <v>42689</v>
      </c>
      <c r="X47" s="10">
        <v>72.13</v>
      </c>
      <c r="Y47" s="10">
        <v>72.48</v>
      </c>
      <c r="Z47" s="10">
        <v>71.239999999999995</v>
      </c>
      <c r="AA47" s="10">
        <v>72.47</v>
      </c>
      <c r="AB47" s="95">
        <v>4431200</v>
      </c>
      <c r="AC47" s="10">
        <v>72.16</v>
      </c>
      <c r="AD47" s="2">
        <f t="shared" si="0"/>
        <v>1.2400000000000091</v>
      </c>
      <c r="AE47" s="138">
        <f t="shared" si="1"/>
        <v>6.9338510608796255E-4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78.486000000000004</v>
      </c>
      <c r="Q48" s="2"/>
      <c r="T48" s="93" t="s">
        <v>103</v>
      </c>
      <c r="U48" s="130">
        <v>1.19173</v>
      </c>
      <c r="W48" s="133">
        <v>42688</v>
      </c>
      <c r="X48" s="10">
        <v>70.8</v>
      </c>
      <c r="Y48" s="10">
        <v>72.680000000000007</v>
      </c>
      <c r="Z48" s="10">
        <v>70.63</v>
      </c>
      <c r="AA48" s="10">
        <v>72.42</v>
      </c>
      <c r="AB48" s="95">
        <v>8084100</v>
      </c>
      <c r="AC48" s="10">
        <v>72.11</v>
      </c>
      <c r="AD48" s="2">
        <f t="shared" si="0"/>
        <v>2.0500000000000114</v>
      </c>
      <c r="AE48" s="138">
        <f t="shared" si="1"/>
        <v>2.7207977207977185E-2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77.724000000000004</v>
      </c>
      <c r="Q49" s="2"/>
      <c r="T49" s="93" t="s">
        <v>122</v>
      </c>
      <c r="U49" s="130" t="s">
        <v>478</v>
      </c>
      <c r="W49" s="133">
        <v>42685</v>
      </c>
      <c r="X49" s="10">
        <v>69.97</v>
      </c>
      <c r="Y49" s="10">
        <v>70.59</v>
      </c>
      <c r="Z49" s="10">
        <v>69.650000000000006</v>
      </c>
      <c r="AA49" s="10">
        <v>70.5</v>
      </c>
      <c r="AB49" s="95">
        <v>4656100</v>
      </c>
      <c r="AC49" s="10">
        <v>70.2</v>
      </c>
      <c r="AD49" s="2">
        <f t="shared" si="0"/>
        <v>0.93999999999999773</v>
      </c>
      <c r="AE49" s="138">
        <f t="shared" si="1"/>
        <v>5.5865921787709993E-3</v>
      </c>
    </row>
    <row r="50" spans="1:31" x14ac:dyDescent="0.25">
      <c r="A50" s="390" t="s">
        <v>233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76.962000000000003</v>
      </c>
      <c r="Q50" s="2"/>
      <c r="T50" s="93"/>
      <c r="U50" s="130"/>
      <c r="W50" s="133">
        <v>42684</v>
      </c>
      <c r="X50" s="10">
        <v>69.239999999999995</v>
      </c>
      <c r="Y50" s="10">
        <v>70.400000000000006</v>
      </c>
      <c r="Z50" s="10">
        <v>69.05</v>
      </c>
      <c r="AA50" s="10">
        <v>70.11</v>
      </c>
      <c r="AB50" s="95">
        <v>9418700</v>
      </c>
      <c r="AC50" s="10">
        <v>69.81</v>
      </c>
      <c r="AD50" s="2">
        <f t="shared" si="0"/>
        <v>1.3500000000000085</v>
      </c>
      <c r="AE50" s="138">
        <f t="shared" si="1"/>
        <v>1.9868517165814392E-2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76.2</v>
      </c>
      <c r="Q51" s="2"/>
      <c r="T51" s="93" t="s">
        <v>105</v>
      </c>
      <c r="U51" s="130" t="s">
        <v>479</v>
      </c>
      <c r="W51" s="133">
        <v>42683</v>
      </c>
      <c r="X51" s="10">
        <v>67.16</v>
      </c>
      <c r="Y51" s="10">
        <v>69</v>
      </c>
      <c r="Z51" s="10">
        <v>67.06</v>
      </c>
      <c r="AA51" s="10">
        <v>68.739999999999995</v>
      </c>
      <c r="AB51" s="95">
        <v>9319100</v>
      </c>
      <c r="AC51" s="10">
        <v>68.45</v>
      </c>
      <c r="AD51" s="2">
        <f t="shared" si="0"/>
        <v>1.9399999999999977</v>
      </c>
      <c r="AE51" s="138">
        <f t="shared" si="1"/>
        <v>2.4854020062883508E-2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75.438000000000002</v>
      </c>
      <c r="Q52" s="2"/>
      <c r="T52" s="93" t="s">
        <v>106</v>
      </c>
      <c r="U52" s="130" t="s">
        <v>418</v>
      </c>
      <c r="W52" s="133">
        <v>42682</v>
      </c>
      <c r="X52" s="10">
        <v>66.790000000000006</v>
      </c>
      <c r="Y52" s="10">
        <v>67.260000000000005</v>
      </c>
      <c r="Z52" s="10">
        <v>66.31</v>
      </c>
      <c r="AA52" s="10">
        <v>67.069999999999993</v>
      </c>
      <c r="AB52" s="95">
        <v>3956000</v>
      </c>
      <c r="AC52" s="10">
        <v>66.790000000000006</v>
      </c>
      <c r="AD52" s="2">
        <f t="shared" si="0"/>
        <v>0.95000000000000284</v>
      </c>
      <c r="AE52" s="138">
        <f t="shared" si="1"/>
        <v>1.0491606714628787E-3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74.676000000000002</v>
      </c>
      <c r="Q53" s="2"/>
      <c r="T53" s="93" t="s">
        <v>107</v>
      </c>
      <c r="U53" s="131">
        <v>8465939</v>
      </c>
      <c r="W53" s="133">
        <v>42681</v>
      </c>
      <c r="X53" s="10">
        <v>66.849999999999994</v>
      </c>
      <c r="Y53" s="10">
        <v>67.33</v>
      </c>
      <c r="Z53" s="10">
        <v>66.650000000000006</v>
      </c>
      <c r="AA53" s="10">
        <v>67</v>
      </c>
      <c r="AB53" s="95">
        <v>4012100</v>
      </c>
      <c r="AC53" s="10">
        <v>66.72</v>
      </c>
      <c r="AD53" s="2">
        <f t="shared" si="0"/>
        <v>0.67999999999999261</v>
      </c>
      <c r="AE53" s="138">
        <f t="shared" si="1"/>
        <v>2.2842250498236849E-2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73.914000000000001</v>
      </c>
      <c r="T54" s="93" t="s">
        <v>110</v>
      </c>
      <c r="U54" s="131">
        <v>4547770</v>
      </c>
      <c r="W54" s="133">
        <v>42678</v>
      </c>
      <c r="X54" s="10">
        <v>65.5</v>
      </c>
      <c r="Y54" s="10">
        <v>66.08</v>
      </c>
      <c r="Z54" s="10">
        <v>65.03</v>
      </c>
      <c r="AA54" s="10">
        <v>65.510000000000005</v>
      </c>
      <c r="AB54" s="95">
        <v>3429900</v>
      </c>
      <c r="AC54" s="10">
        <v>65.23</v>
      </c>
      <c r="AD54" s="2">
        <f t="shared" si="0"/>
        <v>1.0499999999999972</v>
      </c>
      <c r="AE54" s="138">
        <f t="shared" si="1"/>
        <v>2.7671022290547409E-3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73.152000000000001</v>
      </c>
      <c r="T55" s="93" t="s">
        <v>108</v>
      </c>
      <c r="U55" s="130" t="s">
        <v>480</v>
      </c>
      <c r="W55" s="133">
        <v>42677</v>
      </c>
      <c r="X55" s="10">
        <v>65.53</v>
      </c>
      <c r="Y55" s="10">
        <v>65.760000000000005</v>
      </c>
      <c r="Z55" s="10">
        <v>65.040000000000006</v>
      </c>
      <c r="AA55" s="10">
        <v>65.33</v>
      </c>
      <c r="AB55" s="95">
        <v>3796500</v>
      </c>
      <c r="AC55" s="10">
        <v>65.05</v>
      </c>
      <c r="AD55" s="2">
        <f t="shared" si="0"/>
        <v>0.71999999999999886</v>
      </c>
      <c r="AE55" s="138">
        <f t="shared" si="1"/>
        <v>-1.8413380389750156E-3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72.39</v>
      </c>
      <c r="T56" s="93" t="s">
        <v>111</v>
      </c>
      <c r="U56" s="130">
        <v>13.54</v>
      </c>
      <c r="W56" s="133">
        <v>42676</v>
      </c>
      <c r="X56" s="10">
        <v>65.760000000000005</v>
      </c>
      <c r="Y56" s="10">
        <v>66.03</v>
      </c>
      <c r="Z56" s="10">
        <v>65.14</v>
      </c>
      <c r="AA56" s="10">
        <v>65.45</v>
      </c>
      <c r="AB56" s="95">
        <v>3659000</v>
      </c>
      <c r="AC56" s="10">
        <v>65.17</v>
      </c>
      <c r="AD56" s="2">
        <f t="shared" si="0"/>
        <v>0.89000000000000057</v>
      </c>
      <c r="AE56" s="138">
        <f t="shared" si="1"/>
        <v>-1.2126724268606948E-2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71.628</v>
      </c>
      <c r="T57" s="93" t="s">
        <v>112</v>
      </c>
      <c r="U57" s="130">
        <v>5.63</v>
      </c>
      <c r="W57" s="133">
        <v>42675</v>
      </c>
      <c r="X57" s="10">
        <v>66.77</v>
      </c>
      <c r="Y57" s="10">
        <v>66.81</v>
      </c>
      <c r="Z57" s="10">
        <v>65.73</v>
      </c>
      <c r="AA57" s="10">
        <v>66.25</v>
      </c>
      <c r="AB57" s="95">
        <v>3761600</v>
      </c>
      <c r="AC57" s="10">
        <v>65.97</v>
      </c>
      <c r="AD57" s="2">
        <f t="shared" si="0"/>
        <v>1.0799999999999983</v>
      </c>
      <c r="AE57" s="138">
        <f t="shared" si="1"/>
        <v>-2.5703054127608205E-3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70.866</v>
      </c>
      <c r="T58" s="93" t="s">
        <v>109</v>
      </c>
      <c r="U58" s="130" t="s">
        <v>627</v>
      </c>
      <c r="W58" s="133">
        <v>42674</v>
      </c>
      <c r="X58" s="10">
        <v>66.81</v>
      </c>
      <c r="Y58" s="10">
        <v>66.83</v>
      </c>
      <c r="Z58" s="10">
        <v>66.31</v>
      </c>
      <c r="AA58" s="10">
        <v>66.42</v>
      </c>
      <c r="AB58" s="95">
        <v>3233400</v>
      </c>
      <c r="AC58" s="10">
        <v>66.14</v>
      </c>
      <c r="AD58" s="2">
        <f t="shared" si="0"/>
        <v>0.51999999999999602</v>
      </c>
      <c r="AE58" s="138">
        <f t="shared" si="1"/>
        <v>-4.5337766359376808E-4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70.103999999999999</v>
      </c>
      <c r="W59" s="133">
        <v>42671</v>
      </c>
      <c r="X59" s="10">
        <v>67.150000000000006</v>
      </c>
      <c r="Y59" s="10">
        <v>67.22</v>
      </c>
      <c r="Z59" s="10">
        <v>66.3</v>
      </c>
      <c r="AA59" s="10">
        <v>66.45</v>
      </c>
      <c r="AB59" s="95">
        <v>4994500</v>
      </c>
      <c r="AC59" s="10">
        <v>66.17</v>
      </c>
      <c r="AD59" s="2">
        <f t="shared" si="0"/>
        <v>0.92000000000000171</v>
      </c>
      <c r="AE59" s="138">
        <f t="shared" si="1"/>
        <v>-7.2018004501125388E-3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69.341999999999999</v>
      </c>
      <c r="W60" s="133">
        <v>42670</v>
      </c>
      <c r="X60" s="10">
        <v>67</v>
      </c>
      <c r="Y60" s="10">
        <v>67.22</v>
      </c>
      <c r="Z60" s="10">
        <v>66.430000000000007</v>
      </c>
      <c r="AA60" s="10">
        <v>66.930000000000007</v>
      </c>
      <c r="AB60" s="95">
        <v>4751300</v>
      </c>
      <c r="AC60" s="10">
        <v>66.650000000000006</v>
      </c>
      <c r="AD60" s="2">
        <f t="shared" si="0"/>
        <v>0.78999999999999204</v>
      </c>
      <c r="AE60" s="138">
        <f t="shared" si="1"/>
        <v>1.9542994588095386E-3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68.58</v>
      </c>
      <c r="W61" s="133">
        <v>42669</v>
      </c>
      <c r="X61" s="10">
        <v>66.5</v>
      </c>
      <c r="Y61" s="10">
        <v>67.069999999999993</v>
      </c>
      <c r="Z61" s="10">
        <v>66.14</v>
      </c>
      <c r="AA61" s="10">
        <v>66.8</v>
      </c>
      <c r="AB61" s="95">
        <v>3621800</v>
      </c>
      <c r="AC61" s="10">
        <v>66.52</v>
      </c>
      <c r="AD61" s="2">
        <f t="shared" si="0"/>
        <v>0.92999999999999261</v>
      </c>
      <c r="AE61" s="138">
        <f t="shared" si="1"/>
        <v>9.0279867589537766E-4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66.930000000000007</v>
      </c>
      <c r="Y62" s="10">
        <v>67.38</v>
      </c>
      <c r="Z62" s="10">
        <v>66.61</v>
      </c>
      <c r="AA62" s="10">
        <v>66.739999999999995</v>
      </c>
      <c r="AB62" s="95">
        <v>3882300</v>
      </c>
      <c r="AC62" s="10">
        <v>66.459999999999994</v>
      </c>
      <c r="AD62" s="2">
        <f t="shared" si="0"/>
        <v>0.76999999999999602</v>
      </c>
      <c r="AE62" s="138">
        <f t="shared" si="1"/>
        <v>-5.2387367160605658E-3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67.69</v>
      </c>
      <c r="Y63" s="10">
        <v>67.930000000000007</v>
      </c>
      <c r="Z63" s="10">
        <v>67.069999999999993</v>
      </c>
      <c r="AA63" s="10">
        <v>67.09</v>
      </c>
      <c r="AB63" s="95">
        <v>5174000</v>
      </c>
      <c r="AC63" s="10">
        <v>66.81</v>
      </c>
      <c r="AD63" s="2">
        <f t="shared" si="0"/>
        <v>0.86000000000001364</v>
      </c>
      <c r="AE63" s="138">
        <f t="shared" si="1"/>
        <v>-3.876546891307453E-3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66.45</v>
      </c>
      <c r="Y64" s="10">
        <v>67.59</v>
      </c>
      <c r="Z64" s="10">
        <v>66.400000000000006</v>
      </c>
      <c r="AA64" s="10">
        <v>67.36</v>
      </c>
      <c r="AB64" s="95">
        <v>8561200</v>
      </c>
      <c r="AC64" s="10">
        <v>67.069999999999993</v>
      </c>
      <c r="AD64" s="2">
        <f t="shared" si="0"/>
        <v>1.1899999999999977</v>
      </c>
      <c r="AE64" s="138">
        <f t="shared" si="1"/>
        <v>8.5714285714284522E-3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42663</v>
      </c>
      <c r="X65" s="10">
        <v>65.34</v>
      </c>
      <c r="Y65" s="10">
        <v>67.78</v>
      </c>
      <c r="Z65" s="10">
        <v>64.75</v>
      </c>
      <c r="AA65" s="10">
        <v>66.78</v>
      </c>
      <c r="AB65" s="95">
        <v>25870700</v>
      </c>
      <c r="AC65" s="10">
        <v>66.5</v>
      </c>
      <c r="AD65" s="2">
        <f t="shared" si="0"/>
        <v>3.0300000000000011</v>
      </c>
      <c r="AE65" s="138">
        <f t="shared" si="1"/>
        <v>9.0342679127725756E-2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42662</v>
      </c>
      <c r="X66" s="10">
        <v>60.42</v>
      </c>
      <c r="Y66" s="10">
        <v>61.68</v>
      </c>
      <c r="Z66" s="10">
        <v>60.27</v>
      </c>
      <c r="AA66" s="10">
        <v>61.25</v>
      </c>
      <c r="AB66" s="95">
        <v>7888500</v>
      </c>
      <c r="AC66" s="10">
        <v>60.99</v>
      </c>
      <c r="AD66" s="2">
        <f t="shared" si="0"/>
        <v>1.4099999999999966</v>
      </c>
      <c r="AE66" s="138">
        <f t="shared" si="1"/>
        <v>1.9558676028084365E-2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42661</v>
      </c>
      <c r="X67" s="10">
        <v>60.52</v>
      </c>
      <c r="Y67" s="10">
        <v>60.57</v>
      </c>
      <c r="Z67" s="10">
        <v>59.88</v>
      </c>
      <c r="AA67" s="10">
        <v>60.08</v>
      </c>
      <c r="AB67" s="95">
        <v>3416600</v>
      </c>
      <c r="AC67" s="10">
        <v>59.82</v>
      </c>
      <c r="AD67" s="2">
        <f>Y67-Z67</f>
        <v>0.68999999999999773</v>
      </c>
      <c r="AE67" s="138" t="e">
        <f>AC67/#REF!-1</f>
        <v>#REF!</v>
      </c>
    </row>
    <row r="68" spans="1:31" x14ac:dyDescent="0.25">
      <c r="W68" s="133">
        <v>42660</v>
      </c>
      <c r="X68" s="10">
        <v>60.27</v>
      </c>
      <c r="Y68" s="10">
        <v>60.42</v>
      </c>
      <c r="Z68" s="10">
        <v>59.78</v>
      </c>
      <c r="AA68" s="10">
        <v>59.9</v>
      </c>
      <c r="AB68" s="95">
        <v>3903900</v>
      </c>
      <c r="AC68" s="10">
        <v>59.65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59" priority="9">
      <formula>F36&gt;0</formula>
    </cfRule>
    <cfRule type="expression" dxfId="958" priority="10">
      <formula>F36&lt;0</formula>
    </cfRule>
  </conditionalFormatting>
  <conditionalFormatting sqref="F25:F35">
    <cfRule type="expression" dxfId="957" priority="7">
      <formula>F25&gt;0</formula>
    </cfRule>
    <cfRule type="expression" dxfId="956" priority="8">
      <formula>F25&lt;0</formula>
    </cfRule>
  </conditionalFormatting>
  <conditionalFormatting sqref="H25:H35">
    <cfRule type="expression" dxfId="955" priority="5">
      <formula>H25&gt;0</formula>
    </cfRule>
    <cfRule type="expression" dxfId="954" priority="6">
      <formula>H25&lt;0</formula>
    </cfRule>
  </conditionalFormatting>
  <conditionalFormatting sqref="Q7">
    <cfRule type="expression" dxfId="953" priority="3">
      <formula>Q7&gt;0</formula>
    </cfRule>
    <cfRule type="expression" dxfId="952" priority="4">
      <formula>Q7&lt;0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286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71.069999999999993</v>
      </c>
      <c r="Y2" s="10">
        <v>71.459999999999994</v>
      </c>
      <c r="Z2" s="10">
        <v>69.87</v>
      </c>
      <c r="AA2" s="10">
        <v>71</v>
      </c>
      <c r="AB2" s="95">
        <v>3978000</v>
      </c>
      <c r="AC2" s="10">
        <v>71</v>
      </c>
      <c r="AD2" s="2">
        <f>Y2-Z2</f>
        <v>1.5899999999999892</v>
      </c>
      <c r="AE2" s="138">
        <f>AC2/AC3-1</f>
        <v>-1.4082523588232476E-4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</v>
      </c>
      <c r="T3" s="1"/>
      <c r="W3" s="133">
        <v>42754</v>
      </c>
      <c r="X3" s="10">
        <v>72.239999999999995</v>
      </c>
      <c r="Y3" s="10">
        <v>72.430000000000007</v>
      </c>
      <c r="Z3" s="10">
        <v>70.94</v>
      </c>
      <c r="AA3" s="10">
        <v>71.010000000000005</v>
      </c>
      <c r="AB3" s="95">
        <v>2698700</v>
      </c>
      <c r="AC3" s="10">
        <v>71.010000000000005</v>
      </c>
      <c r="AD3" s="2">
        <f t="shared" ref="AD3:AD66" si="0">Y3-Z3</f>
        <v>1.4900000000000091</v>
      </c>
      <c r="AE3" s="138">
        <f t="shared" ref="AE3:AE66" si="1">AC3/AC4-1</f>
        <v>-1.974047487575914E-2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</v>
      </c>
      <c r="R4" s="531">
        <v>-1E-4</v>
      </c>
      <c r="T4" s="163"/>
      <c r="U4" s="1"/>
      <c r="W4" s="133">
        <v>42753</v>
      </c>
      <c r="X4" s="10">
        <v>73.849999999999994</v>
      </c>
      <c r="Y4" s="10">
        <v>74.14</v>
      </c>
      <c r="Z4" s="10">
        <v>72.17</v>
      </c>
      <c r="AA4" s="10">
        <v>72.44</v>
      </c>
      <c r="AB4" s="95">
        <v>2457300</v>
      </c>
      <c r="AC4" s="10">
        <v>72.44</v>
      </c>
      <c r="AD4" s="2">
        <f t="shared" si="0"/>
        <v>1.9699999999999989</v>
      </c>
      <c r="AE4" s="138">
        <f t="shared" si="1"/>
        <v>-2.542714919951572E-2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73.349999999999994</v>
      </c>
      <c r="Y5" s="10">
        <v>75.62</v>
      </c>
      <c r="Z5" s="10">
        <v>73.069999999999993</v>
      </c>
      <c r="AA5" s="10">
        <v>74.33</v>
      </c>
      <c r="AB5" s="95">
        <v>2058400</v>
      </c>
      <c r="AC5" s="10">
        <v>74.33</v>
      </c>
      <c r="AD5" s="2">
        <f t="shared" si="0"/>
        <v>2.5500000000000114</v>
      </c>
      <c r="AE5" s="138">
        <f t="shared" si="1"/>
        <v>1.696538514160606E-2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72.959999999999994</v>
      </c>
      <c r="Y6" s="10">
        <v>73.61</v>
      </c>
      <c r="Z6" s="10">
        <v>72.33</v>
      </c>
      <c r="AA6" s="10">
        <v>73.09</v>
      </c>
      <c r="AB6" s="95">
        <v>2046200</v>
      </c>
      <c r="AC6" s="10">
        <v>73.09</v>
      </c>
      <c r="AD6" s="2">
        <f t="shared" si="0"/>
        <v>1.2800000000000011</v>
      </c>
      <c r="AE6" s="138">
        <f t="shared" si="1"/>
        <v>-6.7944014132355068E-3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42747</v>
      </c>
      <c r="X7" s="10">
        <v>73.349999999999994</v>
      </c>
      <c r="Y7" s="10">
        <v>74.069999999999993</v>
      </c>
      <c r="Z7" s="10">
        <v>73.27</v>
      </c>
      <c r="AA7" s="10">
        <v>73.59</v>
      </c>
      <c r="AB7" s="95">
        <v>2076300</v>
      </c>
      <c r="AC7" s="10">
        <v>73.59</v>
      </c>
      <c r="AD7" s="2">
        <f t="shared" si="0"/>
        <v>0.79999999999999716</v>
      </c>
      <c r="AE7" s="138">
        <f t="shared" si="1"/>
        <v>2.3154453827294308E-3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74.48</v>
      </c>
      <c r="Y8" s="10">
        <v>74.67</v>
      </c>
      <c r="Z8" s="10">
        <v>73.3</v>
      </c>
      <c r="AA8" s="10">
        <v>73.42</v>
      </c>
      <c r="AB8" s="95">
        <v>3723900</v>
      </c>
      <c r="AC8" s="10">
        <v>73.42</v>
      </c>
      <c r="AD8" s="2">
        <f t="shared" si="0"/>
        <v>1.3700000000000045</v>
      </c>
      <c r="AE8" s="138">
        <f t="shared" si="1"/>
        <v>-1.1178451178451176E-2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73.739999999999995</v>
      </c>
      <c r="Y9" s="10">
        <v>74.84</v>
      </c>
      <c r="Z9" s="10">
        <v>73.459999999999994</v>
      </c>
      <c r="AA9" s="10">
        <v>74.25</v>
      </c>
      <c r="AB9" s="95">
        <v>2020900</v>
      </c>
      <c r="AC9" s="10">
        <v>74.25</v>
      </c>
      <c r="AD9" s="2">
        <f t="shared" si="0"/>
        <v>1.3800000000000097</v>
      </c>
      <c r="AE9" s="138">
        <f t="shared" si="1"/>
        <v>7.052760070527464E-3</v>
      </c>
    </row>
    <row r="10" spans="1:31" x14ac:dyDescent="0.25">
      <c r="H10" s="72"/>
      <c r="O10" s="11" t="s">
        <v>214</v>
      </c>
      <c r="P10" s="34"/>
      <c r="Q10" s="2">
        <f>M66</f>
        <v>158.29999999999927</v>
      </c>
      <c r="W10" s="133">
        <v>42744</v>
      </c>
      <c r="X10" s="10">
        <v>73.17</v>
      </c>
      <c r="Y10" s="10">
        <v>73.989999999999995</v>
      </c>
      <c r="Z10" s="10">
        <v>72.819999999999993</v>
      </c>
      <c r="AA10" s="10">
        <v>73.73</v>
      </c>
      <c r="AB10" s="95">
        <v>2465700</v>
      </c>
      <c r="AC10" s="10">
        <v>73.73</v>
      </c>
      <c r="AD10" s="2">
        <f t="shared" si="0"/>
        <v>1.1700000000000017</v>
      </c>
      <c r="AE10" s="138">
        <f t="shared" si="1"/>
        <v>5.1806407634629181E-3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1.41E-2</v>
      </c>
      <c r="W11" s="133">
        <v>42741</v>
      </c>
      <c r="X11" s="10">
        <v>74.42</v>
      </c>
      <c r="Y11" s="10">
        <v>74.42</v>
      </c>
      <c r="Z11" s="10">
        <v>73.290000000000006</v>
      </c>
      <c r="AA11" s="10">
        <v>73.349999999999994</v>
      </c>
      <c r="AB11" s="95">
        <v>2353300</v>
      </c>
      <c r="AC11" s="10">
        <v>73.349999999999994</v>
      </c>
      <c r="AD11" s="2">
        <f t="shared" si="0"/>
        <v>1.1299999999999955</v>
      </c>
      <c r="AE11" s="138">
        <f t="shared" si="1"/>
        <v>-1.5700483091787509E-2</v>
      </c>
    </row>
    <row r="12" spans="1:31" x14ac:dyDescent="0.25">
      <c r="H12" s="72"/>
      <c r="W12" s="133">
        <v>42740</v>
      </c>
      <c r="X12" s="10">
        <v>74.91</v>
      </c>
      <c r="Y12" s="10">
        <v>75.180000000000007</v>
      </c>
      <c r="Z12" s="10">
        <v>73.77</v>
      </c>
      <c r="AA12" s="10">
        <v>74.52</v>
      </c>
      <c r="AB12" s="95">
        <v>2828700</v>
      </c>
      <c r="AC12" s="10">
        <v>74.52</v>
      </c>
      <c r="AD12" s="2">
        <f t="shared" si="0"/>
        <v>1.4100000000000108</v>
      </c>
      <c r="AE12" s="138">
        <f t="shared" si="1"/>
        <v>-1.9989479221462547E-2</v>
      </c>
    </row>
    <row r="13" spans="1:31" x14ac:dyDescent="0.25">
      <c r="H13" s="72"/>
      <c r="W13" s="133">
        <v>42739</v>
      </c>
      <c r="X13" s="10">
        <v>74.64</v>
      </c>
      <c r="Y13" s="10">
        <v>76.290000000000006</v>
      </c>
      <c r="Z13" s="10">
        <v>74.56</v>
      </c>
      <c r="AA13" s="10">
        <v>76.040000000000006</v>
      </c>
      <c r="AB13" s="95">
        <v>3018900</v>
      </c>
      <c r="AC13" s="10">
        <v>76.040000000000006</v>
      </c>
      <c r="AD13" s="2">
        <f t="shared" si="0"/>
        <v>1.730000000000004</v>
      </c>
      <c r="AE13" s="138">
        <f t="shared" si="1"/>
        <v>2.4935975198814075E-2</v>
      </c>
    </row>
    <row r="14" spans="1:31" x14ac:dyDescent="0.25">
      <c r="H14" s="72"/>
      <c r="W14" s="133">
        <v>42738</v>
      </c>
      <c r="X14" s="10">
        <v>74.34</v>
      </c>
      <c r="Y14" s="10">
        <v>74.42</v>
      </c>
      <c r="Z14" s="10">
        <v>73.209999999999994</v>
      </c>
      <c r="AA14" s="10">
        <v>74.19</v>
      </c>
      <c r="AB14" s="95">
        <v>1998000</v>
      </c>
      <c r="AC14" s="10">
        <v>74.19</v>
      </c>
      <c r="AD14" s="2">
        <f t="shared" si="0"/>
        <v>1.210000000000008</v>
      </c>
      <c r="AE14" s="138">
        <f t="shared" si="1"/>
        <v>1.620089104900746E-3</v>
      </c>
    </row>
    <row r="15" spans="1:31" x14ac:dyDescent="0.25">
      <c r="H15" s="72"/>
      <c r="W15" s="133">
        <v>42734</v>
      </c>
      <c r="X15" s="10">
        <v>74.099999999999994</v>
      </c>
      <c r="Y15" s="10">
        <v>74.44</v>
      </c>
      <c r="Z15" s="10">
        <v>73.67</v>
      </c>
      <c r="AA15" s="10">
        <v>74.069999999999993</v>
      </c>
      <c r="AB15" s="95">
        <v>1570200</v>
      </c>
      <c r="AC15" s="10">
        <v>74.069999999999993</v>
      </c>
      <c r="AD15" s="2">
        <f t="shared" si="0"/>
        <v>0.76999999999999602</v>
      </c>
      <c r="AE15" s="138">
        <f t="shared" si="1"/>
        <v>-8.0938891137194435E-4</v>
      </c>
    </row>
    <row r="16" spans="1:31" x14ac:dyDescent="0.25">
      <c r="H16" s="72"/>
      <c r="W16" s="133">
        <v>42733</v>
      </c>
      <c r="X16" s="10">
        <v>73.900000000000006</v>
      </c>
      <c r="Y16" s="10">
        <v>74.430000000000007</v>
      </c>
      <c r="Z16" s="10">
        <v>73.84</v>
      </c>
      <c r="AA16" s="10">
        <v>74.13</v>
      </c>
      <c r="AB16" s="95">
        <v>1135100</v>
      </c>
      <c r="AC16" s="10">
        <v>74.13</v>
      </c>
      <c r="AD16" s="2">
        <f t="shared" si="0"/>
        <v>0.59000000000000341</v>
      </c>
      <c r="AE16" s="138">
        <f t="shared" si="1"/>
        <v>1.4860848419346873E-3</v>
      </c>
    </row>
    <row r="17" spans="1:31" x14ac:dyDescent="0.25">
      <c r="W17" s="133">
        <v>42732</v>
      </c>
      <c r="X17" s="10">
        <v>74.81</v>
      </c>
      <c r="Y17" s="10">
        <v>75</v>
      </c>
      <c r="Z17" s="10">
        <v>73.75</v>
      </c>
      <c r="AA17" s="10">
        <v>74.02</v>
      </c>
      <c r="AB17" s="95">
        <v>1311900</v>
      </c>
      <c r="AC17" s="10">
        <v>74.02</v>
      </c>
      <c r="AD17" s="2">
        <f t="shared" si="0"/>
        <v>1.25</v>
      </c>
      <c r="AE17" s="138">
        <f t="shared" si="1"/>
        <v>-6.8428820609151009E-3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74.47</v>
      </c>
      <c r="Y18" s="10">
        <v>75.099999999999994</v>
      </c>
      <c r="Z18" s="10">
        <v>74.16</v>
      </c>
      <c r="AA18" s="10">
        <v>74.53</v>
      </c>
      <c r="AB18" s="95">
        <v>1491700</v>
      </c>
      <c r="AC18" s="10">
        <v>74.53</v>
      </c>
      <c r="AD18" s="2">
        <f t="shared" si="0"/>
        <v>0.93999999999999773</v>
      </c>
      <c r="AE18" s="138">
        <f t="shared" si="1"/>
        <v>5.2603183166981538E-3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74.52</v>
      </c>
      <c r="Y19" s="10">
        <v>75.209999999999994</v>
      </c>
      <c r="Z19" s="10">
        <v>73.98</v>
      </c>
      <c r="AA19" s="10">
        <v>74.14</v>
      </c>
      <c r="AB19" s="95">
        <v>1261000</v>
      </c>
      <c r="AC19" s="10">
        <v>74.14</v>
      </c>
      <c r="AD19" s="2">
        <f t="shared" si="0"/>
        <v>1.2299999999999898</v>
      </c>
      <c r="AE19" s="138">
        <f t="shared" si="1"/>
        <v>-2.9585798816568198E-3</v>
      </c>
    </row>
    <row r="20" spans="1:31" x14ac:dyDescent="0.25">
      <c r="W20" s="133">
        <v>42726</v>
      </c>
      <c r="X20" s="10">
        <v>77</v>
      </c>
      <c r="Y20" s="10">
        <v>77.16</v>
      </c>
      <c r="Z20" s="10">
        <v>74.16</v>
      </c>
      <c r="AA20" s="10">
        <v>74.36</v>
      </c>
      <c r="AB20" s="95">
        <v>3475200</v>
      </c>
      <c r="AC20" s="10">
        <v>74.36</v>
      </c>
      <c r="AD20" s="2">
        <f t="shared" si="0"/>
        <v>3</v>
      </c>
      <c r="AE20" s="138">
        <f t="shared" si="1"/>
        <v>-3.9648714968358645E-2</v>
      </c>
    </row>
    <row r="21" spans="1:31" x14ac:dyDescent="0.25">
      <c r="W21" s="133">
        <v>42725</v>
      </c>
      <c r="X21" s="10">
        <v>77</v>
      </c>
      <c r="Y21" s="10">
        <v>78.06</v>
      </c>
      <c r="Z21" s="10">
        <v>76.53</v>
      </c>
      <c r="AA21" s="10">
        <v>77.430000000000007</v>
      </c>
      <c r="AB21" s="95">
        <v>1977700</v>
      </c>
      <c r="AC21" s="10">
        <v>77.430000000000007</v>
      </c>
      <c r="AD21" s="2">
        <f t="shared" si="0"/>
        <v>1.5300000000000011</v>
      </c>
      <c r="AE21" s="138">
        <f t="shared" si="1"/>
        <v>2.0706613174583666E-3</v>
      </c>
    </row>
    <row r="22" spans="1:31" x14ac:dyDescent="0.25">
      <c r="W22" s="133">
        <v>42724</v>
      </c>
      <c r="X22" s="10">
        <v>76.09</v>
      </c>
      <c r="Y22" s="10">
        <v>77.66</v>
      </c>
      <c r="Z22" s="10">
        <v>76.09</v>
      </c>
      <c r="AA22" s="10">
        <v>77.27</v>
      </c>
      <c r="AB22" s="95">
        <v>3486100</v>
      </c>
      <c r="AC22" s="10">
        <v>77.27</v>
      </c>
      <c r="AD22" s="2">
        <f t="shared" si="0"/>
        <v>1.5699999999999932</v>
      </c>
      <c r="AE22" s="138">
        <f t="shared" si="1"/>
        <v>1.7379855167873437E-2</v>
      </c>
    </row>
    <row r="23" spans="1:31" x14ac:dyDescent="0.25">
      <c r="W23" s="133">
        <v>42723</v>
      </c>
      <c r="X23" s="10">
        <v>76.62</v>
      </c>
      <c r="Y23" s="10">
        <v>77.11</v>
      </c>
      <c r="Z23" s="10">
        <v>75.88</v>
      </c>
      <c r="AA23" s="10">
        <v>75.95</v>
      </c>
      <c r="AB23" s="95">
        <v>1867300</v>
      </c>
      <c r="AC23" s="10">
        <v>75.95</v>
      </c>
      <c r="AD23" s="2">
        <f t="shared" si="0"/>
        <v>1.230000000000004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 t="s">
        <v>125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42720</v>
      </c>
      <c r="X25" s="10">
        <v>77</v>
      </c>
      <c r="Y25" s="10">
        <v>78.010000000000005</v>
      </c>
      <c r="Z25" s="10">
        <v>76.64</v>
      </c>
      <c r="AA25" s="10">
        <v>77.099999999999994</v>
      </c>
      <c r="AB25" s="95">
        <v>4312100</v>
      </c>
      <c r="AC25" s="10">
        <v>76.849999999999994</v>
      </c>
      <c r="AD25" s="2">
        <f t="shared" si="0"/>
        <v>1.3700000000000045</v>
      </c>
      <c r="AE25" s="138">
        <f t="shared" si="1"/>
        <v>-1.3010668748381082E-4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42719</v>
      </c>
      <c r="X26" s="10">
        <v>76.03</v>
      </c>
      <c r="Y26" s="10">
        <v>77.180000000000007</v>
      </c>
      <c r="Z26" s="10">
        <v>75.989999999999995</v>
      </c>
      <c r="AA26" s="10">
        <v>77.11</v>
      </c>
      <c r="AB26" s="95">
        <v>2280100</v>
      </c>
      <c r="AC26" s="10">
        <v>76.86</v>
      </c>
      <c r="AD26" s="2">
        <f t="shared" si="0"/>
        <v>1.1900000000000119</v>
      </c>
      <c r="AE26" s="138">
        <f t="shared" si="1"/>
        <v>1.6129032258064502E-2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42718</v>
      </c>
      <c r="X27" s="10">
        <v>76.11</v>
      </c>
      <c r="Y27" s="10">
        <v>76.55</v>
      </c>
      <c r="Z27" s="10">
        <v>74.73</v>
      </c>
      <c r="AA27" s="10">
        <v>75.89</v>
      </c>
      <c r="AB27" s="95">
        <v>3004100</v>
      </c>
      <c r="AC27" s="10">
        <v>75.64</v>
      </c>
      <c r="AD27" s="2">
        <f t="shared" si="0"/>
        <v>1.8199999999999932</v>
      </c>
      <c r="AE27" s="138">
        <f t="shared" si="1"/>
        <v>-9.2458063663969359E-4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42717</v>
      </c>
      <c r="X28" s="10">
        <v>76.040000000000006</v>
      </c>
      <c r="Y28" s="10">
        <v>76.92</v>
      </c>
      <c r="Z28" s="10">
        <v>74.62</v>
      </c>
      <c r="AA28" s="10">
        <v>75.959999999999994</v>
      </c>
      <c r="AB28" s="95">
        <v>4332200</v>
      </c>
      <c r="AC28" s="10">
        <v>75.709999999999994</v>
      </c>
      <c r="AD28" s="2">
        <f t="shared" si="0"/>
        <v>2.2999999999999972</v>
      </c>
      <c r="AE28" s="138">
        <f t="shared" si="1"/>
        <v>-3.291205897840932E-3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42716</v>
      </c>
      <c r="X29" s="10">
        <v>76.86</v>
      </c>
      <c r="Y29" s="10">
        <v>77.12</v>
      </c>
      <c r="Z29" s="10">
        <v>75.69</v>
      </c>
      <c r="AA29" s="10">
        <v>76.209999999999994</v>
      </c>
      <c r="AB29" s="95">
        <v>2848000</v>
      </c>
      <c r="AC29" s="10">
        <v>75.959999999999994</v>
      </c>
      <c r="AD29" s="2">
        <f t="shared" si="0"/>
        <v>1.4300000000000068</v>
      </c>
      <c r="AE29" s="138">
        <f t="shared" si="1"/>
        <v>-1.2865497076023469E-2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42713</v>
      </c>
      <c r="X30" s="10">
        <v>76.739999999999995</v>
      </c>
      <c r="Y30" s="10">
        <v>77.53</v>
      </c>
      <c r="Z30" s="10">
        <v>76.66</v>
      </c>
      <c r="AA30" s="10">
        <v>77.2</v>
      </c>
      <c r="AB30" s="95">
        <v>2132600</v>
      </c>
      <c r="AC30" s="10">
        <v>76.95</v>
      </c>
      <c r="AD30" s="2">
        <f t="shared" si="0"/>
        <v>0.87000000000000455</v>
      </c>
      <c r="AE30" s="138">
        <f t="shared" si="1"/>
        <v>3.6520151297769754E-3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42712</v>
      </c>
      <c r="X31" s="10">
        <v>77.040000000000006</v>
      </c>
      <c r="Y31" s="10">
        <v>77.38</v>
      </c>
      <c r="Z31" s="10">
        <v>76.59</v>
      </c>
      <c r="AA31" s="10">
        <v>76.92</v>
      </c>
      <c r="AB31" s="95">
        <v>2191600</v>
      </c>
      <c r="AC31" s="10">
        <v>76.67</v>
      </c>
      <c r="AD31" s="2">
        <f t="shared" si="0"/>
        <v>0.78999999999999204</v>
      </c>
      <c r="AE31" s="138">
        <f t="shared" si="1"/>
        <v>-2.3422251138580652E-3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42711</v>
      </c>
      <c r="X32" s="10">
        <v>75.44</v>
      </c>
      <c r="Y32" s="10">
        <v>77.12</v>
      </c>
      <c r="Z32" s="10">
        <v>75.44</v>
      </c>
      <c r="AA32" s="10">
        <v>77.099999999999994</v>
      </c>
      <c r="AB32" s="95">
        <v>3235400</v>
      </c>
      <c r="AC32" s="10">
        <v>76.849999999999994</v>
      </c>
      <c r="AD32" s="2">
        <f t="shared" si="0"/>
        <v>1.6800000000000068</v>
      </c>
      <c r="AE32" s="138">
        <f t="shared" si="1"/>
        <v>1.8690349946977713E-2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42710</v>
      </c>
      <c r="X33" s="10">
        <v>76.62</v>
      </c>
      <c r="Y33" s="10">
        <v>76.62</v>
      </c>
      <c r="Z33" s="10">
        <v>75.22</v>
      </c>
      <c r="AA33" s="10">
        <v>75.69</v>
      </c>
      <c r="AB33" s="95">
        <v>3029800</v>
      </c>
      <c r="AC33" s="10">
        <v>75.44</v>
      </c>
      <c r="AD33" s="2">
        <f t="shared" si="0"/>
        <v>1.4000000000000057</v>
      </c>
      <c r="AE33" s="138">
        <f t="shared" si="1"/>
        <v>-8.9332632685235058E-3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42709</v>
      </c>
      <c r="X34" s="10">
        <v>74.94</v>
      </c>
      <c r="Y34" s="10">
        <v>76.45</v>
      </c>
      <c r="Z34" s="10">
        <v>74.650000000000006</v>
      </c>
      <c r="AA34" s="10">
        <v>76.37</v>
      </c>
      <c r="AB34" s="95">
        <v>3648800</v>
      </c>
      <c r="AC34" s="10">
        <v>76.12</v>
      </c>
      <c r="AD34" s="2">
        <f t="shared" si="0"/>
        <v>1.7999999999999972</v>
      </c>
      <c r="AE34" s="138">
        <f t="shared" si="1"/>
        <v>2.4219590958019621E-2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42706</v>
      </c>
      <c r="X35" s="10">
        <v>72.98</v>
      </c>
      <c r="Y35" s="10">
        <v>74.790000000000006</v>
      </c>
      <c r="Z35" s="10">
        <v>72.930000000000007</v>
      </c>
      <c r="AA35" s="10">
        <v>74.56</v>
      </c>
      <c r="AB35" s="95">
        <v>5708400</v>
      </c>
      <c r="AC35" s="10">
        <v>74.319999999999993</v>
      </c>
      <c r="AD35" s="2">
        <f t="shared" si="0"/>
        <v>1.8599999999999994</v>
      </c>
      <c r="AE35" s="138">
        <f t="shared" si="1"/>
        <v>1.4746040415073658E-2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42705</v>
      </c>
      <c r="X36" s="10">
        <v>72.489999999999995</v>
      </c>
      <c r="Y36" s="10">
        <v>74.16</v>
      </c>
      <c r="Z36" s="10">
        <v>70.59</v>
      </c>
      <c r="AA36" s="10">
        <v>73.48</v>
      </c>
      <c r="AB36" s="95">
        <v>13129300</v>
      </c>
      <c r="AC36" s="10">
        <v>73.239999999999995</v>
      </c>
      <c r="AD36" s="2">
        <f t="shared" si="0"/>
        <v>3.5699999999999932</v>
      </c>
      <c r="AE36" s="138">
        <f t="shared" si="1"/>
        <v>-4.9695082392630097E-2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42704</v>
      </c>
      <c r="X37" s="10">
        <v>77.94</v>
      </c>
      <c r="Y37" s="10">
        <v>78.540000000000006</v>
      </c>
      <c r="Z37" s="10">
        <v>77.09</v>
      </c>
      <c r="AA37" s="10">
        <v>77.319999999999993</v>
      </c>
      <c r="AB37" s="95">
        <v>7159200</v>
      </c>
      <c r="AC37" s="10">
        <v>77.069999999999993</v>
      </c>
      <c r="AD37" s="2">
        <f t="shared" si="0"/>
        <v>1.4500000000000028</v>
      </c>
      <c r="AE37" s="138">
        <f t="shared" si="1"/>
        <v>-1.2682551883166915E-2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78.599999999999994</v>
      </c>
      <c r="Y38" s="10">
        <v>78.83</v>
      </c>
      <c r="Z38" s="10">
        <v>77.42</v>
      </c>
      <c r="AA38" s="10">
        <v>78.31</v>
      </c>
      <c r="AB38" s="95">
        <v>4007300</v>
      </c>
      <c r="AC38" s="10">
        <v>78.06</v>
      </c>
      <c r="AD38" s="2">
        <f t="shared" si="0"/>
        <v>1.4099999999999966</v>
      </c>
      <c r="AE38" s="138">
        <f t="shared" si="1"/>
        <v>-4.3367346938776308E-3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79.77</v>
      </c>
      <c r="Y39" s="10">
        <v>80.52</v>
      </c>
      <c r="Z39" s="10">
        <v>78.38</v>
      </c>
      <c r="AA39" s="10">
        <v>78.66</v>
      </c>
      <c r="AB39" s="95">
        <v>4354100</v>
      </c>
      <c r="AC39" s="10">
        <v>78.400000000000006</v>
      </c>
      <c r="AD39" s="2">
        <f t="shared" si="0"/>
        <v>2.1400000000000006</v>
      </c>
      <c r="AE39" s="138">
        <f t="shared" si="1"/>
        <v>-1.7543859649122751E-2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80.150000000000006</v>
      </c>
      <c r="Y40" s="10">
        <v>80.67</v>
      </c>
      <c r="Z40" s="10">
        <v>79.73</v>
      </c>
      <c r="AA40" s="10">
        <v>80.06</v>
      </c>
      <c r="AB40" s="95">
        <v>1408700</v>
      </c>
      <c r="AC40" s="10">
        <v>79.8</v>
      </c>
      <c r="AD40" s="2">
        <f t="shared" si="0"/>
        <v>0.93999999999999773</v>
      </c>
      <c r="AE40" s="138">
        <f t="shared" si="1"/>
        <v>4.405286343612369E-3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78.100000000000009</v>
      </c>
      <c r="Q41" s="2"/>
      <c r="W41" s="133">
        <v>42697</v>
      </c>
      <c r="X41" s="10">
        <v>79.459999999999994</v>
      </c>
      <c r="Y41" s="10">
        <v>80.33</v>
      </c>
      <c r="Z41" s="10">
        <v>79.22</v>
      </c>
      <c r="AA41" s="10">
        <v>79.709999999999994</v>
      </c>
      <c r="AB41" s="95">
        <v>2450600</v>
      </c>
      <c r="AC41" s="10">
        <v>79.45</v>
      </c>
      <c r="AD41" s="2">
        <f t="shared" si="0"/>
        <v>1.1099999999999994</v>
      </c>
      <c r="AE41" s="138">
        <f t="shared" si="1"/>
        <v>5.1872469635627638E-3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77.39</v>
      </c>
      <c r="Q42" s="2"/>
      <c r="T42" s="91" t="s">
        <v>113</v>
      </c>
      <c r="W42" s="133">
        <v>42696</v>
      </c>
      <c r="X42" s="10">
        <v>77.510000000000005</v>
      </c>
      <c r="Y42" s="10">
        <v>80</v>
      </c>
      <c r="Z42" s="10">
        <v>77.510000000000005</v>
      </c>
      <c r="AA42" s="10">
        <v>79.3</v>
      </c>
      <c r="AB42" s="95">
        <v>4842500</v>
      </c>
      <c r="AC42" s="10">
        <v>79.040000000000006</v>
      </c>
      <c r="AD42" s="2">
        <f t="shared" si="0"/>
        <v>2.4899999999999949</v>
      </c>
      <c r="AE42" s="138">
        <f t="shared" si="1"/>
        <v>3.3337691201464459E-2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76.680000000000007</v>
      </c>
      <c r="Q43" s="2"/>
      <c r="T43" s="128" t="s">
        <v>98</v>
      </c>
      <c r="U43" s="129">
        <v>71.010000000000005</v>
      </c>
      <c r="W43" s="133">
        <v>42695</v>
      </c>
      <c r="X43" s="10">
        <v>76.5</v>
      </c>
      <c r="Y43" s="10">
        <v>76.86</v>
      </c>
      <c r="Z43" s="10">
        <v>76.03</v>
      </c>
      <c r="AA43" s="10">
        <v>76.739999999999995</v>
      </c>
      <c r="AB43" s="95">
        <v>3173600</v>
      </c>
      <c r="AC43" s="10">
        <v>76.489999999999995</v>
      </c>
      <c r="AD43" s="2">
        <f t="shared" si="0"/>
        <v>0.82999999999999829</v>
      </c>
      <c r="AE43" s="138">
        <f t="shared" si="1"/>
        <v>-1.6966849386584881E-3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75.97</v>
      </c>
      <c r="Q44" s="2"/>
      <c r="T44" s="93" t="s">
        <v>99</v>
      </c>
      <c r="U44" s="130">
        <v>71.069999999999993</v>
      </c>
      <c r="W44" s="133">
        <v>42692</v>
      </c>
      <c r="X44" s="10">
        <v>76.790000000000006</v>
      </c>
      <c r="Y44" s="10">
        <v>77.11</v>
      </c>
      <c r="Z44" s="10">
        <v>76.180000000000007</v>
      </c>
      <c r="AA44" s="10">
        <v>76.87</v>
      </c>
      <c r="AB44" s="95">
        <v>3002700</v>
      </c>
      <c r="AC44" s="10">
        <v>76.62</v>
      </c>
      <c r="AD44" s="2">
        <f t="shared" si="0"/>
        <v>0.92999999999999261</v>
      </c>
      <c r="AE44" s="138">
        <f t="shared" si="1"/>
        <v>-5.2178450300011114E-4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75.260000000000005</v>
      </c>
      <c r="Q45" s="2"/>
      <c r="T45" s="93" t="s">
        <v>100</v>
      </c>
      <c r="U45" s="130" t="s">
        <v>129</v>
      </c>
      <c r="W45" s="133">
        <v>42691</v>
      </c>
      <c r="X45" s="10">
        <v>76.489999999999995</v>
      </c>
      <c r="Y45" s="10">
        <v>76.989999999999995</v>
      </c>
      <c r="Z45" s="10">
        <v>75.94</v>
      </c>
      <c r="AA45" s="10">
        <v>76.91</v>
      </c>
      <c r="AB45" s="95">
        <v>3201100</v>
      </c>
      <c r="AC45" s="10">
        <v>76.66</v>
      </c>
      <c r="AD45" s="2">
        <f t="shared" si="0"/>
        <v>1.0499999999999972</v>
      </c>
      <c r="AE45" s="138">
        <f t="shared" si="1"/>
        <v>3.5344940437229688E-3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74.55</v>
      </c>
      <c r="Q46" s="2"/>
      <c r="T46" s="93" t="s">
        <v>101</v>
      </c>
      <c r="U46" s="130" t="s">
        <v>129</v>
      </c>
      <c r="W46" s="133">
        <v>42690</v>
      </c>
      <c r="X46" s="10">
        <v>77.709999999999994</v>
      </c>
      <c r="Y46" s="10">
        <v>77.75</v>
      </c>
      <c r="Z46" s="10">
        <v>76.48</v>
      </c>
      <c r="AA46" s="10">
        <v>76.64</v>
      </c>
      <c r="AB46" s="95">
        <v>2850500</v>
      </c>
      <c r="AC46" s="10">
        <v>76.39</v>
      </c>
      <c r="AD46" s="2">
        <f t="shared" si="0"/>
        <v>1.269999999999996</v>
      </c>
      <c r="AE46" s="138">
        <f t="shared" si="1"/>
        <v>-2.7415143603132242E-3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73.84</v>
      </c>
      <c r="Q47" s="2"/>
      <c r="T47" s="93" t="s">
        <v>102</v>
      </c>
      <c r="U47" s="130">
        <v>79.94</v>
      </c>
      <c r="W47" s="133">
        <v>42689</v>
      </c>
      <c r="X47" s="10">
        <v>76.59</v>
      </c>
      <c r="Y47" s="10">
        <v>77.099999999999994</v>
      </c>
      <c r="Z47" s="10">
        <v>75.75</v>
      </c>
      <c r="AA47" s="10">
        <v>76.849999999999994</v>
      </c>
      <c r="AB47" s="95">
        <v>4336900</v>
      </c>
      <c r="AC47" s="10">
        <v>76.599999999999994</v>
      </c>
      <c r="AD47" s="2">
        <f t="shared" si="0"/>
        <v>1.3499999999999943</v>
      </c>
      <c r="AE47" s="138">
        <f t="shared" si="1"/>
        <v>2.4865855254547764E-3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73.13</v>
      </c>
      <c r="Q48" s="2"/>
      <c r="T48" s="93" t="s">
        <v>103</v>
      </c>
      <c r="U48" s="130">
        <v>0.85034100000000001</v>
      </c>
      <c r="W48" s="133">
        <v>42688</v>
      </c>
      <c r="X48" s="10">
        <v>75</v>
      </c>
      <c r="Y48" s="10">
        <v>76.900000000000006</v>
      </c>
      <c r="Z48" s="10">
        <v>74.98</v>
      </c>
      <c r="AA48" s="10">
        <v>76.66</v>
      </c>
      <c r="AB48" s="95">
        <v>4564100</v>
      </c>
      <c r="AC48" s="10">
        <v>76.41</v>
      </c>
      <c r="AD48" s="2">
        <f t="shared" si="0"/>
        <v>1.9200000000000017</v>
      </c>
      <c r="AE48" s="138">
        <f t="shared" si="1"/>
        <v>2.6188557614826857E-2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72.42</v>
      </c>
      <c r="Q49" s="2"/>
      <c r="T49" s="93" t="s">
        <v>122</v>
      </c>
      <c r="U49" s="130" t="s">
        <v>359</v>
      </c>
      <c r="W49" s="133">
        <v>42685</v>
      </c>
      <c r="X49" s="10">
        <v>74.400000000000006</v>
      </c>
      <c r="Y49" s="10">
        <v>75.45</v>
      </c>
      <c r="Z49" s="10">
        <v>73.89</v>
      </c>
      <c r="AA49" s="10">
        <v>74.7</v>
      </c>
      <c r="AB49" s="95">
        <v>4009400</v>
      </c>
      <c r="AC49" s="10">
        <v>74.459999999999994</v>
      </c>
      <c r="AD49" s="2">
        <f t="shared" si="0"/>
        <v>1.5600000000000023</v>
      </c>
      <c r="AE49" s="138">
        <f t="shared" si="1"/>
        <v>4.316158618829169E-3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71.709999999999994</v>
      </c>
      <c r="Q50" s="2"/>
      <c r="T50" s="93"/>
      <c r="U50" s="130"/>
      <c r="W50" s="133">
        <v>42684</v>
      </c>
      <c r="X50" s="10">
        <v>71.75</v>
      </c>
      <c r="Y50" s="10">
        <v>74.599999999999994</v>
      </c>
      <c r="Z50" s="10">
        <v>71.73</v>
      </c>
      <c r="AA50" s="10">
        <v>74.38</v>
      </c>
      <c r="AB50" s="95">
        <v>6958600</v>
      </c>
      <c r="AC50" s="10">
        <v>74.14</v>
      </c>
      <c r="AD50" s="2">
        <f t="shared" si="0"/>
        <v>2.8699999999999903</v>
      </c>
      <c r="AE50" s="138">
        <f t="shared" si="1"/>
        <v>4.0269398063701445E-2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</v>
      </c>
      <c r="Q51" s="2"/>
      <c r="T51" s="93" t="s">
        <v>105</v>
      </c>
      <c r="U51" s="130" t="s">
        <v>481</v>
      </c>
      <c r="W51" s="133">
        <v>42683</v>
      </c>
      <c r="X51" s="10">
        <v>68.64</v>
      </c>
      <c r="Y51" s="10">
        <v>71.510000000000005</v>
      </c>
      <c r="Z51" s="10">
        <v>68.38</v>
      </c>
      <c r="AA51" s="10">
        <v>71.5</v>
      </c>
      <c r="AB51" s="95">
        <v>3273600</v>
      </c>
      <c r="AC51" s="10">
        <v>71.27</v>
      </c>
      <c r="AD51" s="2">
        <f t="shared" si="0"/>
        <v>3.1300000000000097</v>
      </c>
      <c r="AE51" s="138">
        <f t="shared" si="1"/>
        <v>2.5615196431141296E-2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70.290000000000006</v>
      </c>
      <c r="Q52" s="2"/>
      <c r="T52" s="93" t="s">
        <v>106</v>
      </c>
      <c r="U52" s="130" t="s">
        <v>352</v>
      </c>
      <c r="W52" s="133">
        <v>42682</v>
      </c>
      <c r="X52" s="10">
        <v>69.83</v>
      </c>
      <c r="Y52" s="10">
        <v>70.08</v>
      </c>
      <c r="Z52" s="10">
        <v>68.92</v>
      </c>
      <c r="AA52" s="10">
        <v>69.72</v>
      </c>
      <c r="AB52" s="95">
        <v>1978000</v>
      </c>
      <c r="AC52" s="10">
        <v>69.489999999999995</v>
      </c>
      <c r="AD52" s="2">
        <f t="shared" si="0"/>
        <v>1.1599999999999966</v>
      </c>
      <c r="AE52" s="138">
        <f t="shared" si="1"/>
        <v>-7.1901064135770909E-4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69.58</v>
      </c>
      <c r="Q53" s="2"/>
      <c r="T53" s="93" t="s">
        <v>107</v>
      </c>
      <c r="U53" s="131">
        <v>3997157</v>
      </c>
      <c r="W53" s="133">
        <v>42681</v>
      </c>
      <c r="X53" s="10">
        <v>69.13</v>
      </c>
      <c r="Y53" s="10">
        <v>70.010000000000005</v>
      </c>
      <c r="Z53" s="10">
        <v>69</v>
      </c>
      <c r="AA53" s="10">
        <v>69.77</v>
      </c>
      <c r="AB53" s="95">
        <v>2142500</v>
      </c>
      <c r="AC53" s="10">
        <v>69.540000000000006</v>
      </c>
      <c r="AD53" s="2">
        <f t="shared" si="0"/>
        <v>1.0100000000000051</v>
      </c>
      <c r="AE53" s="138">
        <f t="shared" si="1"/>
        <v>1.8006148440931069E-2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68.87</v>
      </c>
      <c r="T54" s="93" t="s">
        <v>110</v>
      </c>
      <c r="U54" s="131">
        <v>3091660</v>
      </c>
      <c r="W54" s="133">
        <v>42678</v>
      </c>
      <c r="X54" s="10">
        <v>68.569999999999993</v>
      </c>
      <c r="Y54" s="10">
        <v>69.150000000000006</v>
      </c>
      <c r="Z54" s="10">
        <v>68.040000000000006</v>
      </c>
      <c r="AA54" s="10">
        <v>68.53</v>
      </c>
      <c r="AB54" s="95">
        <v>2350400</v>
      </c>
      <c r="AC54" s="10">
        <v>68.31</v>
      </c>
      <c r="AD54" s="2">
        <f t="shared" si="0"/>
        <v>1.1099999999999994</v>
      </c>
      <c r="AE54" s="138">
        <f t="shared" si="1"/>
        <v>0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68.16</v>
      </c>
      <c r="T55" s="93" t="s">
        <v>108</v>
      </c>
      <c r="U55" s="130" t="s">
        <v>482</v>
      </c>
      <c r="W55" s="133">
        <v>42677</v>
      </c>
      <c r="X55" s="10">
        <v>69.790000000000006</v>
      </c>
      <c r="Y55" s="10">
        <v>69.91</v>
      </c>
      <c r="Z55" s="10">
        <v>68.36</v>
      </c>
      <c r="AA55" s="10">
        <v>68.53</v>
      </c>
      <c r="AB55" s="95">
        <v>2979500</v>
      </c>
      <c r="AC55" s="10">
        <v>68.31</v>
      </c>
      <c r="AD55" s="2">
        <f t="shared" si="0"/>
        <v>1.5499999999999972</v>
      </c>
      <c r="AE55" s="138">
        <f t="shared" si="1"/>
        <v>-1.5280380567968876E-2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67.45</v>
      </c>
      <c r="T56" s="93" t="s">
        <v>111</v>
      </c>
      <c r="U56" s="130">
        <v>16.649999999999999</v>
      </c>
      <c r="W56" s="133">
        <v>42676</v>
      </c>
      <c r="X56" s="10">
        <v>68.849999999999994</v>
      </c>
      <c r="Y56" s="10">
        <v>69.790000000000006</v>
      </c>
      <c r="Z56" s="10">
        <v>68.849999999999994</v>
      </c>
      <c r="AA56" s="10">
        <v>69.599999999999994</v>
      </c>
      <c r="AB56" s="95">
        <v>2647900</v>
      </c>
      <c r="AC56" s="10">
        <v>69.37</v>
      </c>
      <c r="AD56" s="2">
        <f t="shared" si="0"/>
        <v>0.94000000000001194</v>
      </c>
      <c r="AE56" s="138">
        <f t="shared" si="1"/>
        <v>7.8454162429173468E-3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66.739999999999995</v>
      </c>
      <c r="T57" s="93" t="s">
        <v>112</v>
      </c>
      <c r="U57" s="130">
        <v>4.26</v>
      </c>
      <c r="W57" s="133">
        <v>42675</v>
      </c>
      <c r="X57" s="10">
        <v>69.040000000000006</v>
      </c>
      <c r="Y57" s="10">
        <v>69.290000000000006</v>
      </c>
      <c r="Z57" s="10">
        <v>68.650000000000006</v>
      </c>
      <c r="AA57" s="10">
        <v>69.05</v>
      </c>
      <c r="AB57" s="95">
        <v>2738300</v>
      </c>
      <c r="AC57" s="10">
        <v>68.83</v>
      </c>
      <c r="AD57" s="2">
        <f t="shared" si="0"/>
        <v>0.64000000000000057</v>
      </c>
      <c r="AE57" s="138">
        <f t="shared" si="1"/>
        <v>-5.8080441411367811E-4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66.03</v>
      </c>
      <c r="T58" s="93" t="s">
        <v>109</v>
      </c>
      <c r="U58" s="130" t="s">
        <v>628</v>
      </c>
      <c r="W58" s="133">
        <v>42674</v>
      </c>
      <c r="X58" s="10">
        <v>68.41</v>
      </c>
      <c r="Y58" s="10">
        <v>69.22</v>
      </c>
      <c r="Z58" s="10">
        <v>68.34</v>
      </c>
      <c r="AA58" s="10">
        <v>69.09</v>
      </c>
      <c r="AB58" s="95">
        <v>2876200</v>
      </c>
      <c r="AC58" s="10">
        <v>68.87</v>
      </c>
      <c r="AD58" s="2">
        <f t="shared" si="0"/>
        <v>0.87999999999999545</v>
      </c>
      <c r="AE58" s="138">
        <f t="shared" si="1"/>
        <v>1.1009982384028172E-2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65.320000000000007</v>
      </c>
      <c r="W59" s="133">
        <v>42671</v>
      </c>
      <c r="X59" s="10">
        <v>67.569999999999993</v>
      </c>
      <c r="Y59" s="10">
        <v>68.66</v>
      </c>
      <c r="Z59" s="10">
        <v>67.44</v>
      </c>
      <c r="AA59" s="10">
        <v>68.34</v>
      </c>
      <c r="AB59" s="95">
        <v>2089700</v>
      </c>
      <c r="AC59" s="10">
        <v>68.12</v>
      </c>
      <c r="AD59" s="2">
        <f t="shared" si="0"/>
        <v>1.2199999999999989</v>
      </c>
      <c r="AE59" s="138">
        <f t="shared" si="1"/>
        <v>1.3238137736129696E-2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64.61</v>
      </c>
      <c r="W60" s="133">
        <v>42670</v>
      </c>
      <c r="X60" s="10">
        <v>68.47</v>
      </c>
      <c r="Y60" s="10">
        <v>68.64</v>
      </c>
      <c r="Z60" s="10">
        <v>67.41</v>
      </c>
      <c r="AA60" s="10">
        <v>67.45</v>
      </c>
      <c r="AB60" s="95">
        <v>2503700</v>
      </c>
      <c r="AC60" s="10">
        <v>67.23</v>
      </c>
      <c r="AD60" s="2">
        <f t="shared" si="0"/>
        <v>1.230000000000004</v>
      </c>
      <c r="AE60" s="138">
        <f t="shared" si="1"/>
        <v>-1.2049963262307006E-2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63.9</v>
      </c>
      <c r="W61" s="133">
        <v>42669</v>
      </c>
      <c r="X61" s="10">
        <v>68.41</v>
      </c>
      <c r="Y61" s="10">
        <v>68.760000000000005</v>
      </c>
      <c r="Z61" s="10">
        <v>68.040000000000006</v>
      </c>
      <c r="AA61" s="10">
        <v>68.27</v>
      </c>
      <c r="AB61" s="95">
        <v>1533900</v>
      </c>
      <c r="AC61" s="10">
        <v>68.05</v>
      </c>
      <c r="AD61" s="2">
        <f t="shared" si="0"/>
        <v>0.71999999999999886</v>
      </c>
      <c r="AE61" s="138">
        <f t="shared" si="1"/>
        <v>1.4716703458423908E-3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68.09</v>
      </c>
      <c r="Y62" s="10">
        <v>68.36</v>
      </c>
      <c r="Z62" s="10">
        <v>67.92</v>
      </c>
      <c r="AA62" s="10">
        <v>68.17</v>
      </c>
      <c r="AB62" s="95">
        <v>1772100</v>
      </c>
      <c r="AC62" s="10">
        <v>67.95</v>
      </c>
      <c r="AD62" s="2">
        <f t="shared" si="0"/>
        <v>0.43999999999999773</v>
      </c>
      <c r="AE62" s="138">
        <f t="shared" si="1"/>
        <v>-1.4695077149153857E-3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68.28</v>
      </c>
      <c r="Y63" s="10">
        <v>68.84</v>
      </c>
      <c r="Z63" s="10">
        <v>68.010000000000005</v>
      </c>
      <c r="AA63" s="10">
        <v>68.27</v>
      </c>
      <c r="AB63" s="95">
        <v>1888100</v>
      </c>
      <c r="AC63" s="10">
        <v>68.05</v>
      </c>
      <c r="AD63" s="2">
        <f t="shared" si="0"/>
        <v>0.82999999999999829</v>
      </c>
      <c r="AE63" s="138">
        <f t="shared" si="1"/>
        <v>5.0214148574805328E-3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67.680000000000007</v>
      </c>
      <c r="Y64" s="10">
        <v>68.23</v>
      </c>
      <c r="Z64" s="10">
        <v>67.09</v>
      </c>
      <c r="AA64" s="10">
        <v>67.930000000000007</v>
      </c>
      <c r="AB64" s="95">
        <v>2588800</v>
      </c>
      <c r="AC64" s="10">
        <v>67.709999999999994</v>
      </c>
      <c r="AD64" s="2">
        <f t="shared" si="0"/>
        <v>1.1400000000000006</v>
      </c>
      <c r="AE64" s="138">
        <f t="shared" si="1"/>
        <v>-7.3789846517136048E-4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68.88</v>
      </c>
      <c r="Y65" s="10">
        <v>68.88</v>
      </c>
      <c r="Z65" s="10">
        <v>67.849999999999994</v>
      </c>
      <c r="AA65" s="10">
        <v>67.98</v>
      </c>
      <c r="AB65" s="95">
        <v>2497600</v>
      </c>
      <c r="AC65" s="10">
        <v>67.760000000000005</v>
      </c>
      <c r="AD65" s="2">
        <f t="shared" si="0"/>
        <v>1.0300000000000011</v>
      </c>
      <c r="AE65" s="138">
        <f t="shared" si="1"/>
        <v>-1.0514018691588745E-2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42662</v>
      </c>
      <c r="X66" s="10">
        <v>68.8</v>
      </c>
      <c r="Y66" s="10">
        <v>69</v>
      </c>
      <c r="Z66" s="10">
        <v>68.349999999999994</v>
      </c>
      <c r="AA66" s="10">
        <v>68.7</v>
      </c>
      <c r="AB66" s="95">
        <v>1546700</v>
      </c>
      <c r="AC66" s="10">
        <v>68.48</v>
      </c>
      <c r="AD66" s="2">
        <f t="shared" si="0"/>
        <v>0.65000000000000568</v>
      </c>
      <c r="AE66" s="138">
        <f t="shared" si="1"/>
        <v>1.4604936468542995E-4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42661</v>
      </c>
      <c r="X67" s="10">
        <v>68.89</v>
      </c>
      <c r="Y67" s="10">
        <v>69.069999999999993</v>
      </c>
      <c r="Z67" s="10">
        <v>68.58</v>
      </c>
      <c r="AA67" s="10">
        <v>68.69</v>
      </c>
      <c r="AB67" s="95">
        <v>1314700</v>
      </c>
      <c r="AC67" s="10">
        <v>68.47</v>
      </c>
      <c r="AD67" s="2">
        <f>Y67-Z67</f>
        <v>0.48999999999999488</v>
      </c>
      <c r="AE67" s="138" t="e">
        <f>AC67/#REF!-1</f>
        <v>#REF!</v>
      </c>
    </row>
    <row r="68" spans="1:31" x14ac:dyDescent="0.25">
      <c r="A68" s="556" t="s">
        <v>286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42660</v>
      </c>
      <c r="X68" s="10">
        <v>69.319999999999993</v>
      </c>
      <c r="Y68" s="10">
        <v>69.540000000000006</v>
      </c>
      <c r="Z68" s="10">
        <v>68.28</v>
      </c>
      <c r="AA68" s="10">
        <v>68.489999999999995</v>
      </c>
      <c r="AB68" s="95">
        <v>2489900</v>
      </c>
      <c r="AC68" s="10">
        <v>68.27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199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9" priority="9">
      <formula>F47&gt;0</formula>
    </cfRule>
    <cfRule type="expression" dxfId="948" priority="10">
      <formula>F47&lt;0</formula>
    </cfRule>
  </conditionalFormatting>
  <conditionalFormatting sqref="Q7">
    <cfRule type="expression" dxfId="947" priority="7">
      <formula>Q7&gt;0</formula>
    </cfRule>
    <cfRule type="expression" dxfId="946" priority="8">
      <formula>Q7&lt;0</formula>
    </cfRule>
  </conditionalFormatting>
  <conditionalFormatting sqref="Q8">
    <cfRule type="expression" dxfId="945" priority="5">
      <formula>Q8&gt;0</formula>
    </cfRule>
    <cfRule type="expression" dxfId="944" priority="6">
      <formula>Q8&lt;0</formula>
    </cfRule>
  </conditionalFormatting>
  <conditionalFormatting sqref="F25:F46">
    <cfRule type="expression" dxfId="943" priority="3">
      <formula>F25&gt;0</formula>
    </cfRule>
    <cfRule type="expression" dxfId="942" priority="4">
      <formula>F25&lt;0</formula>
    </cfRule>
  </conditionalFormatting>
  <conditionalFormatting sqref="H25:H46">
    <cfRule type="expression" dxfId="941" priority="1">
      <formula>H25&gt;0</formula>
    </cfRule>
    <cfRule type="expression" dxfId="94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32.5</v>
      </c>
      <c r="Y2" s="40">
        <v>32.56</v>
      </c>
      <c r="Z2" s="40">
        <v>32.29</v>
      </c>
      <c r="AA2" s="365">
        <v>32.39</v>
      </c>
      <c r="AB2" s="95">
        <v>214600</v>
      </c>
      <c r="AC2" s="243">
        <v>32.39</v>
      </c>
      <c r="AD2" s="2">
        <f>Y2-Z2</f>
        <v>0.27000000000000313</v>
      </c>
      <c r="AE2" s="138">
        <f>AC2/AC3-1</f>
        <v>1.2364760432765909E-3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32.39</v>
      </c>
      <c r="T3" s="121"/>
      <c r="W3" s="94">
        <v>42754</v>
      </c>
      <c r="X3" s="365">
        <v>32.69</v>
      </c>
      <c r="Y3" s="40">
        <v>32.79</v>
      </c>
      <c r="Z3" s="40">
        <v>32.33</v>
      </c>
      <c r="AA3" s="365">
        <v>32.35</v>
      </c>
      <c r="AB3" s="95">
        <v>347500</v>
      </c>
      <c r="AC3" s="243">
        <v>32.35</v>
      </c>
      <c r="AD3" s="2">
        <f>Y3-Z3</f>
        <v>0.46000000000000085</v>
      </c>
      <c r="AE3" s="138">
        <f>AC3/AC4-1</f>
        <v>-1.2816600549282908E-2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32.39</v>
      </c>
      <c r="R4" s="505">
        <v>1.1999999999999999E-3</v>
      </c>
      <c r="T4" s="121"/>
      <c r="W4" s="94">
        <v>42753</v>
      </c>
      <c r="X4" s="365">
        <v>32.75</v>
      </c>
      <c r="Y4" s="40">
        <v>32.86</v>
      </c>
      <c r="Z4" s="40">
        <v>32.4</v>
      </c>
      <c r="AA4" s="365">
        <v>32.770000000000003</v>
      </c>
      <c r="AB4" s="95">
        <v>353000</v>
      </c>
      <c r="AC4" s="243">
        <v>32.770000000000003</v>
      </c>
      <c r="AD4" s="2">
        <f t="shared" ref="AD4:AD67" si="0">Y4-Z4</f>
        <v>0.46000000000000085</v>
      </c>
      <c r="AE4" s="138">
        <f t="shared" ref="AE4:AE67" si="1">AC4/AC5-1</f>
        <v>3.9828431372550543E-3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32.46</v>
      </c>
      <c r="Y5" s="40">
        <v>32.67</v>
      </c>
      <c r="Z5" s="40">
        <v>32.159999999999997</v>
      </c>
      <c r="AA5" s="365">
        <v>32.64</v>
      </c>
      <c r="AB5" s="95">
        <v>283300</v>
      </c>
      <c r="AC5" s="243">
        <v>32.64</v>
      </c>
      <c r="AD5" s="2">
        <f t="shared" si="0"/>
        <v>0.51000000000000512</v>
      </c>
      <c r="AE5" s="138">
        <f t="shared" si="1"/>
        <v>3.6900369003689537E-3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32.15</v>
      </c>
      <c r="Y6" s="40">
        <v>32.54</v>
      </c>
      <c r="Z6" s="40">
        <v>32.04</v>
      </c>
      <c r="AA6" s="365">
        <v>32.520000000000003</v>
      </c>
      <c r="AB6" s="95">
        <v>257000</v>
      </c>
      <c r="AC6" s="243">
        <v>32.520000000000003</v>
      </c>
      <c r="AD6" s="2">
        <f t="shared" si="0"/>
        <v>0.5</v>
      </c>
      <c r="AE6" s="138">
        <f t="shared" si="1"/>
        <v>1.2768607910308427E-2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42747</v>
      </c>
      <c r="X7" s="365">
        <v>31.7</v>
      </c>
      <c r="Y7" s="40">
        <v>32.15</v>
      </c>
      <c r="Z7" s="40">
        <v>31.61</v>
      </c>
      <c r="AA7" s="365">
        <v>32.11</v>
      </c>
      <c r="AB7" s="95">
        <v>244700</v>
      </c>
      <c r="AC7" s="243">
        <v>32.11</v>
      </c>
      <c r="AD7" s="2">
        <f t="shared" si="0"/>
        <v>0.53999999999999915</v>
      </c>
      <c r="AE7" s="138">
        <f t="shared" si="1"/>
        <v>8.1632653061223248E-3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32.090000000000003</v>
      </c>
      <c r="Y8" s="40">
        <v>32.24</v>
      </c>
      <c r="Z8" s="40">
        <v>31.69</v>
      </c>
      <c r="AA8" s="365">
        <v>31.85</v>
      </c>
      <c r="AB8" s="95">
        <v>292300</v>
      </c>
      <c r="AC8" s="243">
        <v>31.85</v>
      </c>
      <c r="AD8" s="2">
        <f t="shared" si="0"/>
        <v>0.55000000000000071</v>
      </c>
      <c r="AE8" s="138">
        <f t="shared" si="1"/>
        <v>-7.7881619937694158E-3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31.82</v>
      </c>
      <c r="Y9" s="40">
        <v>32.340000000000003</v>
      </c>
      <c r="Z9" s="40">
        <v>31.66</v>
      </c>
      <c r="AA9" s="365">
        <v>32.1</v>
      </c>
      <c r="AB9" s="95">
        <v>581000</v>
      </c>
      <c r="AC9" s="243">
        <v>32.1</v>
      </c>
      <c r="AD9" s="2">
        <f t="shared" si="0"/>
        <v>0.68000000000000327</v>
      </c>
      <c r="AE9" s="138">
        <f t="shared" si="1"/>
        <v>9.7514941805600941E-3</v>
      </c>
      <c r="AK9" s="234"/>
      <c r="AN9" s="234"/>
    </row>
    <row r="10" spans="1:40" ht="12.75" customHeight="1" x14ac:dyDescent="0.25">
      <c r="O10" s="11" t="s">
        <v>214</v>
      </c>
      <c r="Q10" s="2">
        <f>M37</f>
        <v>21.970000000000027</v>
      </c>
      <c r="W10" s="94">
        <v>42744</v>
      </c>
      <c r="X10" s="365">
        <v>31.86</v>
      </c>
      <c r="Y10" s="40">
        <v>31.97</v>
      </c>
      <c r="Z10" s="40">
        <v>31.62</v>
      </c>
      <c r="AA10" s="365">
        <v>31.79</v>
      </c>
      <c r="AB10" s="95">
        <v>678600</v>
      </c>
      <c r="AC10" s="243">
        <v>31.79</v>
      </c>
      <c r="AD10" s="2">
        <f t="shared" si="0"/>
        <v>0.34999999999999787</v>
      </c>
      <c r="AE10" s="138">
        <f t="shared" si="1"/>
        <v>-6.2873310279787376E-4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31.12</v>
      </c>
      <c r="Y11" s="40">
        <v>31.82</v>
      </c>
      <c r="Z11" s="40">
        <v>31</v>
      </c>
      <c r="AA11" s="365">
        <v>31.81</v>
      </c>
      <c r="AB11" s="95">
        <v>376900</v>
      </c>
      <c r="AC11" s="243">
        <v>31.81</v>
      </c>
      <c r="AD11" s="2">
        <f t="shared" si="0"/>
        <v>0.82000000000000028</v>
      </c>
      <c r="AE11" s="138">
        <f t="shared" si="1"/>
        <v>2.2172236503855913E-2</v>
      </c>
      <c r="AK11" s="234"/>
      <c r="AN11" s="234"/>
    </row>
    <row r="12" spans="1:40" x14ac:dyDescent="0.25">
      <c r="W12" s="94">
        <v>42740</v>
      </c>
      <c r="X12" s="365">
        <v>31.12</v>
      </c>
      <c r="Y12" s="40">
        <v>31.55</v>
      </c>
      <c r="Z12" s="40">
        <v>31.03</v>
      </c>
      <c r="AA12" s="365">
        <v>31.12</v>
      </c>
      <c r="AB12" s="95">
        <v>871500</v>
      </c>
      <c r="AC12" s="243">
        <v>31.12</v>
      </c>
      <c r="AD12" s="2">
        <f t="shared" si="0"/>
        <v>0.51999999999999957</v>
      </c>
      <c r="AE12" s="138">
        <f t="shared" si="1"/>
        <v>3.2144005143042165E-4</v>
      </c>
    </row>
    <row r="13" spans="1:40" x14ac:dyDescent="0.25">
      <c r="W13" s="94">
        <v>42739</v>
      </c>
      <c r="X13" s="365">
        <v>31.05</v>
      </c>
      <c r="Y13" s="40">
        <v>31.65</v>
      </c>
      <c r="Z13" s="40">
        <v>30.96</v>
      </c>
      <c r="AA13" s="365">
        <v>31.11</v>
      </c>
      <c r="AB13" s="95">
        <v>895800</v>
      </c>
      <c r="AC13" s="243">
        <v>31.11</v>
      </c>
      <c r="AD13" s="2">
        <f t="shared" si="0"/>
        <v>0.68999999999999773</v>
      </c>
      <c r="AE13" s="138">
        <f t="shared" si="1"/>
        <v>9.6525096525090781E-4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30.41</v>
      </c>
      <c r="Y14" s="40">
        <v>31.08</v>
      </c>
      <c r="Z14" s="40">
        <v>30.26</v>
      </c>
      <c r="AA14" s="365">
        <v>31.08</v>
      </c>
      <c r="AB14" s="95">
        <v>572200</v>
      </c>
      <c r="AC14" s="243">
        <v>31.08</v>
      </c>
      <c r="AD14" s="2">
        <f t="shared" si="0"/>
        <v>0.81999999999999673</v>
      </c>
      <c r="AE14" s="138">
        <f t="shared" si="1"/>
        <v>2.3715415019762709E-2</v>
      </c>
    </row>
    <row r="15" spans="1:40" x14ac:dyDescent="0.25">
      <c r="W15" s="94">
        <v>42734</v>
      </c>
      <c r="X15" s="365">
        <v>30.42</v>
      </c>
      <c r="Y15" s="40">
        <v>30.48</v>
      </c>
      <c r="Z15" s="40">
        <v>30.21</v>
      </c>
      <c r="AA15" s="365">
        <v>30.36</v>
      </c>
      <c r="AB15" s="95">
        <v>304700</v>
      </c>
      <c r="AC15" s="243">
        <v>30.36</v>
      </c>
      <c r="AD15" s="2">
        <f t="shared" si="0"/>
        <v>0.26999999999999957</v>
      </c>
      <c r="AE15" s="138">
        <f t="shared" si="1"/>
        <v>-2.3003614853762677E-3</v>
      </c>
      <c r="AK15" s="234"/>
      <c r="AN15" s="234"/>
    </row>
    <row r="16" spans="1:40" x14ac:dyDescent="0.25">
      <c r="W16" s="94">
        <v>42733</v>
      </c>
      <c r="X16" s="365">
        <v>30.22</v>
      </c>
      <c r="Y16" s="40">
        <v>30.62</v>
      </c>
      <c r="Z16" s="40">
        <v>30.22</v>
      </c>
      <c r="AA16" s="365">
        <v>30.43</v>
      </c>
      <c r="AB16" s="95">
        <v>182900</v>
      </c>
      <c r="AC16" s="243">
        <v>30.43</v>
      </c>
      <c r="AD16" s="2">
        <f t="shared" si="0"/>
        <v>0.40000000000000213</v>
      </c>
      <c r="AE16" s="138">
        <f t="shared" si="1"/>
        <v>4.6219874546054029E-3</v>
      </c>
    </row>
    <row r="17" spans="1:40" x14ac:dyDescent="0.25">
      <c r="W17" s="94">
        <v>42732</v>
      </c>
      <c r="X17" s="365">
        <v>30.73</v>
      </c>
      <c r="Y17" s="40">
        <v>30.81</v>
      </c>
      <c r="Z17" s="40">
        <v>30.21</v>
      </c>
      <c r="AA17" s="365">
        <v>30.29</v>
      </c>
      <c r="AB17" s="95">
        <v>239500</v>
      </c>
      <c r="AC17" s="243">
        <v>30.29</v>
      </c>
      <c r="AD17" s="2">
        <f t="shared" si="0"/>
        <v>0.59999999999999787</v>
      </c>
      <c r="AE17" s="138">
        <f t="shared" si="1"/>
        <v>-1.1422976501305526E-2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30.47</v>
      </c>
      <c r="Y18" s="40">
        <v>30.85</v>
      </c>
      <c r="Z18" s="40">
        <v>30.32</v>
      </c>
      <c r="AA18" s="365">
        <v>30.64</v>
      </c>
      <c r="AB18" s="95">
        <v>319600</v>
      </c>
      <c r="AC18" s="243">
        <v>30.64</v>
      </c>
      <c r="AD18" s="2">
        <f t="shared" si="0"/>
        <v>0.53000000000000114</v>
      </c>
      <c r="AE18" s="138">
        <f t="shared" si="1"/>
        <v>1.1221122112211157E-2</v>
      </c>
    </row>
    <row r="19" spans="1:40" x14ac:dyDescent="0.25">
      <c r="W19" s="94">
        <v>42727</v>
      </c>
      <c r="X19" s="365">
        <v>30.55</v>
      </c>
      <c r="Y19" s="40">
        <v>30.58</v>
      </c>
      <c r="Z19" s="40">
        <v>30.09</v>
      </c>
      <c r="AA19" s="365">
        <v>30.3</v>
      </c>
      <c r="AB19" s="95">
        <v>352300</v>
      </c>
      <c r="AC19" s="243">
        <v>30.3</v>
      </c>
      <c r="AD19" s="2">
        <f t="shared" si="0"/>
        <v>0.48999999999999844</v>
      </c>
      <c r="AE19" s="138">
        <f t="shared" si="1"/>
        <v>-4.5992115637319975E-3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30.35</v>
      </c>
      <c r="Y20" s="40">
        <v>30.5</v>
      </c>
      <c r="Z20" s="40">
        <v>30.14</v>
      </c>
      <c r="AA20" s="365">
        <v>30.44</v>
      </c>
      <c r="AB20" s="95">
        <v>489600</v>
      </c>
      <c r="AC20" s="243">
        <v>30.44</v>
      </c>
      <c r="AD20" s="2">
        <f t="shared" si="0"/>
        <v>0.35999999999999943</v>
      </c>
      <c r="AE20" s="138">
        <f t="shared" si="1"/>
        <v>0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42725</v>
      </c>
      <c r="X21" s="365">
        <v>30.31</v>
      </c>
      <c r="Y21" s="40">
        <v>30.62</v>
      </c>
      <c r="Z21" s="40">
        <v>30.08</v>
      </c>
      <c r="AA21" s="365">
        <v>30.44</v>
      </c>
      <c r="AB21" s="95">
        <v>338700</v>
      </c>
      <c r="AC21" s="243">
        <v>30.44</v>
      </c>
      <c r="AD21" s="2">
        <f t="shared" si="0"/>
        <v>0.5400000000000027</v>
      </c>
      <c r="AE21" s="138">
        <f t="shared" si="1"/>
        <v>5.94844679444817E-3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42724</v>
      </c>
      <c r="X22" s="365">
        <v>30.54</v>
      </c>
      <c r="Y22" s="40">
        <v>30.84</v>
      </c>
      <c r="Z22" s="40">
        <v>30.09</v>
      </c>
      <c r="AA22" s="365">
        <v>30.26</v>
      </c>
      <c r="AB22" s="95">
        <v>289800</v>
      </c>
      <c r="AC22" s="243">
        <v>30.26</v>
      </c>
      <c r="AD22" s="2">
        <f t="shared" si="0"/>
        <v>0.75</v>
      </c>
      <c r="AE22" s="138">
        <f t="shared" si="1"/>
        <v>-9.1683038637850878E-3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42723</v>
      </c>
      <c r="X23" s="365">
        <v>30.76</v>
      </c>
      <c r="Y23" s="40">
        <v>30.93</v>
      </c>
      <c r="Z23" s="40">
        <v>30.47</v>
      </c>
      <c r="AA23" s="365">
        <v>30.54</v>
      </c>
      <c r="AB23" s="95">
        <v>549700</v>
      </c>
      <c r="AC23" s="243">
        <v>30.54</v>
      </c>
      <c r="AD23" s="2">
        <f t="shared" si="0"/>
        <v>0.46000000000000085</v>
      </c>
      <c r="AE23" s="138">
        <f t="shared" si="1"/>
        <v>-8.7633885102239573E-3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42720</v>
      </c>
      <c r="X24" s="365">
        <v>30.76</v>
      </c>
      <c r="Y24" s="40">
        <v>31.15</v>
      </c>
      <c r="Z24" s="40">
        <v>30.69</v>
      </c>
      <c r="AA24" s="365">
        <v>30.81</v>
      </c>
      <c r="AB24" s="95">
        <v>814100</v>
      </c>
      <c r="AC24" s="243">
        <v>30.81</v>
      </c>
      <c r="AD24" s="2">
        <f t="shared" si="0"/>
        <v>0.4599999999999973</v>
      </c>
      <c r="AE24" s="138">
        <f t="shared" si="1"/>
        <v>-1.6202203499676715E-3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42719</v>
      </c>
      <c r="X25" s="365">
        <v>31.01</v>
      </c>
      <c r="Y25" s="40">
        <v>31.2</v>
      </c>
      <c r="Z25" s="40">
        <v>30.8</v>
      </c>
      <c r="AA25" s="365">
        <v>30.86</v>
      </c>
      <c r="AB25" s="95">
        <v>657500</v>
      </c>
      <c r="AC25" s="243">
        <v>30.86</v>
      </c>
      <c r="AD25" s="2">
        <f t="shared" si="0"/>
        <v>0.39999999999999858</v>
      </c>
      <c r="AE25" s="138">
        <f t="shared" si="1"/>
        <v>-6.4766839378238572E-4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42718</v>
      </c>
      <c r="X26" s="365">
        <v>31.26</v>
      </c>
      <c r="Y26" s="40">
        <v>31.26</v>
      </c>
      <c r="Z26" s="40">
        <v>30.83</v>
      </c>
      <c r="AA26" s="365">
        <v>30.88</v>
      </c>
      <c r="AB26" s="95">
        <v>523200</v>
      </c>
      <c r="AC26" s="243">
        <v>30.88</v>
      </c>
      <c r="AD26" s="2">
        <f t="shared" si="0"/>
        <v>0.43000000000000327</v>
      </c>
      <c r="AE26" s="138">
        <f t="shared" si="1"/>
        <v>-1.2156110044785784E-2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42717</v>
      </c>
      <c r="X27" s="365">
        <v>31.31</v>
      </c>
      <c r="Y27" s="40">
        <v>31.47</v>
      </c>
      <c r="Z27" s="40">
        <v>31.09</v>
      </c>
      <c r="AA27" s="365">
        <v>31.26</v>
      </c>
      <c r="AB27" s="95">
        <v>642300</v>
      </c>
      <c r="AC27" s="243">
        <v>31.26</v>
      </c>
      <c r="AD27" s="2">
        <f t="shared" si="0"/>
        <v>0.37999999999999901</v>
      </c>
      <c r="AE27" s="138">
        <f t="shared" si="1"/>
        <v>-1.9157088122604415E-3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42716</v>
      </c>
      <c r="X28" s="365">
        <v>31.25</v>
      </c>
      <c r="Y28" s="40">
        <v>31.48</v>
      </c>
      <c r="Z28" s="40">
        <v>31.23</v>
      </c>
      <c r="AA28" s="365">
        <v>31.32</v>
      </c>
      <c r="AB28" s="95">
        <v>279000</v>
      </c>
      <c r="AC28" s="243">
        <v>31.32</v>
      </c>
      <c r="AD28" s="2">
        <f t="shared" si="0"/>
        <v>0.25</v>
      </c>
      <c r="AE28" s="138">
        <f t="shared" si="1"/>
        <v>1.9193857965451588E-3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42713</v>
      </c>
      <c r="X29" s="365">
        <v>30.8</v>
      </c>
      <c r="Y29" s="40">
        <v>31.43</v>
      </c>
      <c r="Z29" s="40">
        <v>30.75</v>
      </c>
      <c r="AA29" s="365">
        <v>31.26</v>
      </c>
      <c r="AB29" s="95">
        <v>561600</v>
      </c>
      <c r="AC29" s="243">
        <v>31.26</v>
      </c>
      <c r="AD29" s="2">
        <f t="shared" si="0"/>
        <v>0.67999999999999972</v>
      </c>
      <c r="AE29" s="138">
        <f t="shared" si="1"/>
        <v>1.5264696329977401E-2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42712</v>
      </c>
      <c r="X30" s="365">
        <v>30.22</v>
      </c>
      <c r="Y30" s="40">
        <v>30.97</v>
      </c>
      <c r="Z30" s="40">
        <v>30.13</v>
      </c>
      <c r="AA30" s="365">
        <v>30.79</v>
      </c>
      <c r="AB30" s="95">
        <v>496600</v>
      </c>
      <c r="AC30" s="243">
        <v>30.79</v>
      </c>
      <c r="AD30" s="2">
        <f t="shared" si="0"/>
        <v>0.83999999999999986</v>
      </c>
      <c r="AE30" s="138">
        <f t="shared" si="1"/>
        <v>2.1905077995353572E-2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42711</v>
      </c>
      <c r="X31" s="365">
        <v>30.2</v>
      </c>
      <c r="Y31" s="40">
        <v>30.31</v>
      </c>
      <c r="Z31" s="40">
        <v>29.89</v>
      </c>
      <c r="AA31" s="365">
        <v>30.13</v>
      </c>
      <c r="AB31" s="95">
        <v>468500</v>
      </c>
      <c r="AC31" s="243">
        <v>30.13</v>
      </c>
      <c r="AD31" s="2">
        <f t="shared" si="0"/>
        <v>0.41999999999999815</v>
      </c>
      <c r="AE31" s="138">
        <f t="shared" si="1"/>
        <v>-3.3079722130334721E-3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42710</v>
      </c>
      <c r="X32" s="365">
        <v>29.94</v>
      </c>
      <c r="Y32" s="40">
        <v>30.43</v>
      </c>
      <c r="Z32" s="40">
        <v>29.91</v>
      </c>
      <c r="AA32" s="365">
        <v>30.23</v>
      </c>
      <c r="AB32" s="95">
        <v>457900</v>
      </c>
      <c r="AC32" s="243">
        <v>30.23</v>
      </c>
      <c r="AD32" s="2">
        <f t="shared" si="0"/>
        <v>0.51999999999999957</v>
      </c>
      <c r="AE32" s="138">
        <f t="shared" si="1"/>
        <v>1.4429530201342189E-2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42709</v>
      </c>
      <c r="X33" s="365">
        <v>29.55</v>
      </c>
      <c r="Y33" s="40">
        <v>29.96</v>
      </c>
      <c r="Z33" s="40">
        <v>29.38</v>
      </c>
      <c r="AA33" s="365">
        <v>29.8</v>
      </c>
      <c r="AB33" s="95">
        <v>523600</v>
      </c>
      <c r="AC33" s="243">
        <v>29.8</v>
      </c>
      <c r="AD33" s="2">
        <f t="shared" si="0"/>
        <v>0.58000000000000185</v>
      </c>
      <c r="AE33" s="138">
        <f t="shared" si="1"/>
        <v>1.4295439074200278E-2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29.66</v>
      </c>
      <c r="Y34" s="40">
        <v>29.73</v>
      </c>
      <c r="Z34" s="40">
        <v>29.3</v>
      </c>
      <c r="AA34" s="365">
        <v>29.38</v>
      </c>
      <c r="AB34" s="95">
        <v>358400</v>
      </c>
      <c r="AC34" s="243">
        <v>29.38</v>
      </c>
      <c r="AD34" s="2">
        <f t="shared" si="0"/>
        <v>0.42999999999999972</v>
      </c>
      <c r="AE34" s="138">
        <f t="shared" si="1"/>
        <v>-9.7741826761038597E-3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30.02</v>
      </c>
      <c r="Y35" s="40">
        <v>30.17</v>
      </c>
      <c r="Z35" s="40">
        <v>29.4</v>
      </c>
      <c r="AA35" s="365">
        <v>29.67</v>
      </c>
      <c r="AB35" s="95">
        <v>496200</v>
      </c>
      <c r="AC35" s="243">
        <v>29.67</v>
      </c>
      <c r="AD35" s="2">
        <f t="shared" si="0"/>
        <v>0.77000000000000313</v>
      </c>
      <c r="AE35" s="138">
        <f t="shared" si="1"/>
        <v>-1.5593895155938897E-2</v>
      </c>
    </row>
    <row r="36" spans="1:31" x14ac:dyDescent="0.25">
      <c r="W36" s="94">
        <v>42704</v>
      </c>
      <c r="X36" s="365">
        <v>30.53</v>
      </c>
      <c r="Y36" s="40">
        <v>30.79</v>
      </c>
      <c r="Z36" s="40">
        <v>30.1</v>
      </c>
      <c r="AA36" s="365">
        <v>30.14</v>
      </c>
      <c r="AB36" s="95">
        <v>552900</v>
      </c>
      <c r="AC36" s="243">
        <v>30.14</v>
      </c>
      <c r="AD36" s="2">
        <f t="shared" si="0"/>
        <v>0.68999999999999773</v>
      </c>
      <c r="AE36" s="138">
        <f t="shared" si="1"/>
        <v>-1.1479173499508E-2</v>
      </c>
    </row>
    <row r="37" spans="1:31" x14ac:dyDescent="0.25">
      <c r="L37" t="s">
        <v>214</v>
      </c>
      <c r="M37" s="2">
        <f>M55+K55-F55</f>
        <v>21.970000000000027</v>
      </c>
      <c r="W37" s="94">
        <v>42703</v>
      </c>
      <c r="X37" s="365">
        <v>30.34</v>
      </c>
      <c r="Y37" s="40">
        <v>31.37</v>
      </c>
      <c r="Z37" s="40">
        <v>30.31</v>
      </c>
      <c r="AA37" s="365">
        <v>30.49</v>
      </c>
      <c r="AB37" s="95">
        <v>844600</v>
      </c>
      <c r="AC37" s="243">
        <v>30.49</v>
      </c>
      <c r="AD37" s="2">
        <f t="shared" si="0"/>
        <v>1.0600000000000023</v>
      </c>
      <c r="AE37" s="138">
        <f t="shared" si="1"/>
        <v>2.2468142186451878E-2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29.97</v>
      </c>
      <c r="Y38" s="40">
        <v>30.26</v>
      </c>
      <c r="Z38" s="40">
        <v>29.66</v>
      </c>
      <c r="AA38" s="365">
        <v>29.82</v>
      </c>
      <c r="AB38" s="95">
        <v>472600</v>
      </c>
      <c r="AC38" s="243">
        <v>29.82</v>
      </c>
      <c r="AD38" s="2">
        <f t="shared" si="0"/>
        <v>0.60000000000000142</v>
      </c>
      <c r="AE38" s="138">
        <f t="shared" si="1"/>
        <v>-5.3368912608405816E-3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365">
        <v>30.05</v>
      </c>
      <c r="Y39" s="40">
        <v>30.16</v>
      </c>
      <c r="Z39" s="40">
        <v>29.76</v>
      </c>
      <c r="AA39" s="365">
        <v>29.98</v>
      </c>
      <c r="AB39" s="95">
        <v>286900</v>
      </c>
      <c r="AC39" s="243">
        <v>29.98</v>
      </c>
      <c r="AD39" s="2">
        <f t="shared" si="0"/>
        <v>0.39999999999999858</v>
      </c>
      <c r="AE39" s="138">
        <f t="shared" si="1"/>
        <v>-1.997336884154377E-3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35.629000000000005</v>
      </c>
      <c r="R40" s="34"/>
      <c r="T40" s="97" t="s">
        <v>98</v>
      </c>
      <c r="U40" s="129">
        <v>32.35</v>
      </c>
      <c r="W40" s="94">
        <v>42697</v>
      </c>
      <c r="X40" s="365">
        <v>29.84</v>
      </c>
      <c r="Y40" s="40">
        <v>30.16</v>
      </c>
      <c r="Z40" s="40">
        <v>29.72</v>
      </c>
      <c r="AA40" s="365">
        <v>30.04</v>
      </c>
      <c r="AB40" s="95">
        <v>449300</v>
      </c>
      <c r="AC40" s="243">
        <v>30.04</v>
      </c>
      <c r="AD40" s="2">
        <f t="shared" si="0"/>
        <v>0.44000000000000128</v>
      </c>
      <c r="AE40" s="138">
        <f t="shared" si="1"/>
        <v>5.6913290927351756E-3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35.305100000000003</v>
      </c>
      <c r="R41" s="34"/>
      <c r="T41" s="87" t="s">
        <v>99</v>
      </c>
      <c r="U41" s="130">
        <v>32.5</v>
      </c>
      <c r="W41" s="94">
        <v>42696</v>
      </c>
      <c r="X41" s="365">
        <v>29.71</v>
      </c>
      <c r="Y41" s="40">
        <v>30.01</v>
      </c>
      <c r="Z41" s="40">
        <v>29.44</v>
      </c>
      <c r="AA41" s="365">
        <v>29.87</v>
      </c>
      <c r="AB41" s="95">
        <v>524400</v>
      </c>
      <c r="AC41" s="243">
        <v>29.87</v>
      </c>
      <c r="AD41" s="2">
        <f t="shared" si="0"/>
        <v>0.57000000000000028</v>
      </c>
      <c r="AE41" s="138">
        <f t="shared" si="1"/>
        <v>8.0998987512657106E-3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34.981200000000001</v>
      </c>
      <c r="R42" s="34"/>
      <c r="T42" s="87" t="s">
        <v>100</v>
      </c>
      <c r="U42" s="130" t="s">
        <v>483</v>
      </c>
      <c r="W42" s="94">
        <v>42695</v>
      </c>
      <c r="X42" s="365">
        <v>29.46</v>
      </c>
      <c r="Y42" s="40">
        <v>29.8</v>
      </c>
      <c r="Z42" s="40">
        <v>29.07</v>
      </c>
      <c r="AA42" s="365">
        <v>29.63</v>
      </c>
      <c r="AB42" s="95">
        <v>500100</v>
      </c>
      <c r="AC42" s="243">
        <v>29.63</v>
      </c>
      <c r="AD42" s="2">
        <f t="shared" si="0"/>
        <v>0.73000000000000043</v>
      </c>
      <c r="AE42" s="138">
        <f t="shared" si="1"/>
        <v>4.0664181633343066E-3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34.657299999999999</v>
      </c>
      <c r="R43" s="83"/>
      <c r="T43" s="87" t="s">
        <v>101</v>
      </c>
      <c r="U43" s="130" t="s">
        <v>441</v>
      </c>
      <c r="W43" s="94">
        <v>42692</v>
      </c>
      <c r="X43" s="365">
        <v>30</v>
      </c>
      <c r="Y43" s="40">
        <v>30.16</v>
      </c>
      <c r="Z43" s="40">
        <v>29.44</v>
      </c>
      <c r="AA43" s="365">
        <v>29.51</v>
      </c>
      <c r="AB43" s="95">
        <v>489500</v>
      </c>
      <c r="AC43" s="243">
        <v>29.51</v>
      </c>
      <c r="AD43" s="2">
        <f t="shared" si="0"/>
        <v>0.71999999999999886</v>
      </c>
      <c r="AE43" s="138">
        <f t="shared" si="1"/>
        <v>-1.205222631402747E-2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34.333400000000005</v>
      </c>
      <c r="R44" s="83"/>
      <c r="T44" s="87" t="s">
        <v>102</v>
      </c>
      <c r="U44" s="130">
        <v>37.31</v>
      </c>
      <c r="W44" s="94">
        <v>42691</v>
      </c>
      <c r="X44" s="365">
        <v>29.83</v>
      </c>
      <c r="Y44" s="40">
        <v>30.18</v>
      </c>
      <c r="Z44" s="40">
        <v>29.65</v>
      </c>
      <c r="AA44" s="365">
        <v>29.87</v>
      </c>
      <c r="AB44" s="95">
        <v>412000</v>
      </c>
      <c r="AC44" s="243">
        <v>29.87</v>
      </c>
      <c r="AD44" s="2">
        <f t="shared" si="0"/>
        <v>0.53000000000000114</v>
      </c>
      <c r="AE44" s="138">
        <f t="shared" si="1"/>
        <v>4.3712172158709706E-3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34.009500000000003</v>
      </c>
      <c r="R45" s="83"/>
      <c r="T45" s="87" t="s">
        <v>103</v>
      </c>
      <c r="U45" s="130">
        <v>0.445324</v>
      </c>
      <c r="W45" s="94">
        <v>42690</v>
      </c>
      <c r="X45" s="365">
        <v>29.47</v>
      </c>
      <c r="Y45" s="40">
        <v>29.88</v>
      </c>
      <c r="Z45" s="40">
        <v>29.41</v>
      </c>
      <c r="AA45" s="365">
        <v>29.74</v>
      </c>
      <c r="AB45" s="95">
        <v>690700</v>
      </c>
      <c r="AC45" s="243">
        <v>29.74</v>
      </c>
      <c r="AD45" s="2">
        <f t="shared" si="0"/>
        <v>0.46999999999999886</v>
      </c>
      <c r="AE45" s="138">
        <f t="shared" si="1"/>
        <v>1.0190217391304213E-2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33.685600000000001</v>
      </c>
      <c r="R46" s="83"/>
      <c r="T46" s="87" t="s">
        <v>122</v>
      </c>
      <c r="U46" s="232" t="s">
        <v>345</v>
      </c>
      <c r="W46" s="94">
        <v>42689</v>
      </c>
      <c r="X46" s="365">
        <v>29.89</v>
      </c>
      <c r="Y46" s="40">
        <v>30.22</v>
      </c>
      <c r="Z46" s="40">
        <v>29.38</v>
      </c>
      <c r="AA46" s="365">
        <v>29.44</v>
      </c>
      <c r="AB46" s="95">
        <v>679600</v>
      </c>
      <c r="AC46" s="243">
        <v>29.44</v>
      </c>
      <c r="AD46" s="2">
        <f t="shared" si="0"/>
        <v>0.83999999999999986</v>
      </c>
      <c r="AE46" s="138">
        <f t="shared" si="1"/>
        <v>-1.0420168067226898E-2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33.361699999999999</v>
      </c>
      <c r="R47" s="83"/>
      <c r="T47" s="87"/>
      <c r="U47" s="130"/>
      <c r="W47" s="94">
        <v>42688</v>
      </c>
      <c r="X47" s="365">
        <v>29.22</v>
      </c>
      <c r="Y47" s="40">
        <v>29.89</v>
      </c>
      <c r="Z47" s="40">
        <v>29.07</v>
      </c>
      <c r="AA47" s="365">
        <v>29.75</v>
      </c>
      <c r="AB47" s="95">
        <v>1502100</v>
      </c>
      <c r="AC47" s="243">
        <v>29.75</v>
      </c>
      <c r="AD47" s="2">
        <f t="shared" si="0"/>
        <v>0.82000000000000028</v>
      </c>
      <c r="AE47" s="138">
        <f t="shared" si="1"/>
        <v>1.744186046511631E-2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33.037800000000004</v>
      </c>
      <c r="R48" s="83"/>
      <c r="T48" s="87" t="s">
        <v>105</v>
      </c>
      <c r="U48" s="130" t="s">
        <v>484</v>
      </c>
      <c r="W48" s="94">
        <v>42685</v>
      </c>
      <c r="X48" s="365">
        <v>29.47</v>
      </c>
      <c r="Y48" s="40">
        <v>29.65</v>
      </c>
      <c r="Z48" s="40">
        <v>29.08</v>
      </c>
      <c r="AA48" s="365">
        <v>29.24</v>
      </c>
      <c r="AB48" s="95">
        <v>574200</v>
      </c>
      <c r="AC48" s="243">
        <v>29.24</v>
      </c>
      <c r="AD48" s="2">
        <f t="shared" si="0"/>
        <v>0.57000000000000028</v>
      </c>
      <c r="AE48" s="138">
        <f t="shared" si="1"/>
        <v>-9.1494408675026895E-3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32.713900000000002</v>
      </c>
      <c r="R49" s="83"/>
      <c r="T49" s="87" t="s">
        <v>106</v>
      </c>
      <c r="U49" s="130" t="s">
        <v>419</v>
      </c>
      <c r="W49" s="94">
        <v>42684</v>
      </c>
      <c r="X49" s="365">
        <v>29.52</v>
      </c>
      <c r="Y49" s="40">
        <v>29.7</v>
      </c>
      <c r="Z49" s="40">
        <v>29.21</v>
      </c>
      <c r="AA49" s="365">
        <v>29.51</v>
      </c>
      <c r="AB49" s="95">
        <v>750300</v>
      </c>
      <c r="AC49" s="243">
        <v>29.51</v>
      </c>
      <c r="AD49" s="2">
        <f t="shared" si="0"/>
        <v>0.48999999999999844</v>
      </c>
      <c r="AE49" s="138">
        <f t="shared" si="1"/>
        <v>5.1089918256130851E-3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32.39</v>
      </c>
      <c r="R50" s="83"/>
      <c r="T50" s="87" t="s">
        <v>107</v>
      </c>
      <c r="U50" s="131">
        <v>214603</v>
      </c>
      <c r="W50" s="94">
        <v>42683</v>
      </c>
      <c r="X50" s="365">
        <v>28.7</v>
      </c>
      <c r="Y50" s="40">
        <v>29.59</v>
      </c>
      <c r="Z50" s="40">
        <v>28.27</v>
      </c>
      <c r="AA50" s="365">
        <v>29.36</v>
      </c>
      <c r="AB50" s="95">
        <v>738100</v>
      </c>
      <c r="AC50" s="243">
        <v>29.36</v>
      </c>
      <c r="AD50" s="2">
        <f t="shared" si="0"/>
        <v>1.3200000000000003</v>
      </c>
      <c r="AE50" s="138">
        <f t="shared" si="1"/>
        <v>-2.7173913043478937E-3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32.066099999999999</v>
      </c>
      <c r="R51" s="83"/>
      <c r="T51" s="87" t="s">
        <v>110</v>
      </c>
      <c r="U51" s="131">
        <v>615386</v>
      </c>
      <c r="W51" s="94">
        <v>42682</v>
      </c>
      <c r="X51" s="365">
        <v>30.02</v>
      </c>
      <c r="Y51" s="40">
        <v>31.72</v>
      </c>
      <c r="Z51" s="40">
        <v>29.35</v>
      </c>
      <c r="AA51" s="365">
        <v>29.44</v>
      </c>
      <c r="AB51" s="95">
        <v>3219600</v>
      </c>
      <c r="AC51" s="243">
        <v>29.44</v>
      </c>
      <c r="AD51" s="2">
        <f t="shared" si="0"/>
        <v>2.3699999999999974</v>
      </c>
      <c r="AE51" s="138">
        <f t="shared" si="1"/>
        <v>3.26201332865661E-2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31.7422</v>
      </c>
      <c r="R52" s="83"/>
      <c r="T52" s="87" t="s">
        <v>108</v>
      </c>
      <c r="U52" s="130" t="s">
        <v>485</v>
      </c>
      <c r="W52" s="94">
        <v>42681</v>
      </c>
      <c r="X52" s="365">
        <v>30.04</v>
      </c>
      <c r="Y52" s="40">
        <v>30.26</v>
      </c>
      <c r="Z52" s="40">
        <v>28.32</v>
      </c>
      <c r="AA52" s="365">
        <v>28.51</v>
      </c>
      <c r="AB52" s="95">
        <v>1914800</v>
      </c>
      <c r="AC52" s="243">
        <v>28.51</v>
      </c>
      <c r="AD52" s="2">
        <f t="shared" si="0"/>
        <v>1.9400000000000013</v>
      </c>
      <c r="AE52" s="138">
        <f t="shared" si="1"/>
        <v>-5.7208994708994654E-2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31.418299999999999</v>
      </c>
      <c r="R53" s="83"/>
      <c r="T53" s="87" t="s">
        <v>111</v>
      </c>
      <c r="U53" s="130">
        <v>24.01</v>
      </c>
      <c r="W53" s="94">
        <v>42678</v>
      </c>
      <c r="X53" s="365">
        <v>30.18</v>
      </c>
      <c r="Y53" s="40">
        <v>30.76</v>
      </c>
      <c r="Z53" s="40">
        <v>29.95</v>
      </c>
      <c r="AA53" s="365">
        <v>30.24</v>
      </c>
      <c r="AB53" s="95">
        <v>651000</v>
      </c>
      <c r="AC53" s="243">
        <v>30.24</v>
      </c>
      <c r="AD53" s="2">
        <f t="shared" si="0"/>
        <v>0.81000000000000227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31.0944</v>
      </c>
      <c r="R54" s="83"/>
      <c r="T54" s="87" t="s">
        <v>112</v>
      </c>
      <c r="U54" s="130">
        <v>1.35</v>
      </c>
      <c r="W54" s="94">
        <v>42677</v>
      </c>
      <c r="X54" s="365">
        <v>31.67</v>
      </c>
      <c r="Y54" s="40">
        <v>31.89</v>
      </c>
      <c r="Z54" s="40">
        <v>30.1</v>
      </c>
      <c r="AA54" s="365">
        <v>30.24</v>
      </c>
      <c r="AB54" s="95">
        <v>2059400</v>
      </c>
      <c r="AC54" s="243">
        <v>30.24</v>
      </c>
      <c r="AD54" s="2">
        <f t="shared" si="0"/>
        <v>1.7899999999999991</v>
      </c>
      <c r="AE54" s="138">
        <f t="shared" si="1"/>
        <v>-4.0913415794481489E-2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30.770499999999998</v>
      </c>
      <c r="R55" s="83"/>
      <c r="T55" s="87" t="s">
        <v>109</v>
      </c>
      <c r="U55" s="130" t="s">
        <v>123</v>
      </c>
      <c r="W55" s="94">
        <v>42676</v>
      </c>
      <c r="X55" s="365">
        <v>31.2</v>
      </c>
      <c r="Y55" s="40">
        <v>31.89</v>
      </c>
      <c r="Z55" s="40">
        <v>31.2</v>
      </c>
      <c r="AA55" s="365">
        <v>31.53</v>
      </c>
      <c r="AB55" s="95">
        <v>653700</v>
      </c>
      <c r="AC55" s="243">
        <v>31.53</v>
      </c>
      <c r="AD55" s="2">
        <f t="shared" si="0"/>
        <v>0.69000000000000128</v>
      </c>
      <c r="AE55" s="138">
        <f t="shared" si="1"/>
        <v>1.2849341471249609E-2</v>
      </c>
    </row>
    <row r="56" spans="1:31" x14ac:dyDescent="0.25">
      <c r="O56" s="2"/>
      <c r="P56" s="83">
        <v>0.94</v>
      </c>
      <c r="Q56" s="83">
        <f t="shared" si="11"/>
        <v>30.4466</v>
      </c>
      <c r="R56" s="83"/>
      <c r="W56" s="94">
        <v>42675</v>
      </c>
      <c r="X56" s="365">
        <v>31.74</v>
      </c>
      <c r="Y56" s="40">
        <v>31.74</v>
      </c>
      <c r="Z56" s="40">
        <v>30.78</v>
      </c>
      <c r="AA56" s="365">
        <v>31.13</v>
      </c>
      <c r="AB56" s="95">
        <v>896800</v>
      </c>
      <c r="AC56" s="243">
        <v>31.13</v>
      </c>
      <c r="AD56" s="2">
        <f t="shared" si="0"/>
        <v>0.9599999999999973</v>
      </c>
      <c r="AE56" s="138">
        <f t="shared" si="1"/>
        <v>-2.229899497487442E-2</v>
      </c>
    </row>
    <row r="57" spans="1:31" x14ac:dyDescent="0.25">
      <c r="O57" s="2"/>
      <c r="P57" s="83">
        <v>0.93</v>
      </c>
      <c r="Q57" s="83">
        <f t="shared" si="11"/>
        <v>30.122700000000002</v>
      </c>
      <c r="R57" s="83"/>
      <c r="W57" s="94">
        <v>42674</v>
      </c>
      <c r="X57" s="365">
        <v>31.85</v>
      </c>
      <c r="Y57" s="40">
        <v>32.130000000000003</v>
      </c>
      <c r="Z57" s="40">
        <v>31.79</v>
      </c>
      <c r="AA57" s="365">
        <v>31.84</v>
      </c>
      <c r="AB57" s="95">
        <v>564700</v>
      </c>
      <c r="AC57" s="243">
        <v>31.84</v>
      </c>
      <c r="AD57" s="2">
        <f t="shared" si="0"/>
        <v>0.34000000000000341</v>
      </c>
      <c r="AE57" s="138">
        <f t="shared" si="1"/>
        <v>1.2578616352201255E-3</v>
      </c>
    </row>
    <row r="58" spans="1:31" x14ac:dyDescent="0.25">
      <c r="O58" s="2"/>
      <c r="P58" s="83">
        <v>0.92</v>
      </c>
      <c r="Q58" s="83">
        <f t="shared" si="11"/>
        <v>29.798800000000004</v>
      </c>
      <c r="R58" s="83"/>
      <c r="W58" s="94">
        <v>42671</v>
      </c>
      <c r="X58" s="365">
        <v>32.07</v>
      </c>
      <c r="Y58" s="40">
        <v>32.24</v>
      </c>
      <c r="Z58" s="40">
        <v>31.67</v>
      </c>
      <c r="AA58" s="365">
        <v>31.8</v>
      </c>
      <c r="AB58" s="95">
        <v>400000</v>
      </c>
      <c r="AC58" s="243">
        <v>31.8</v>
      </c>
      <c r="AD58" s="2">
        <f t="shared" si="0"/>
        <v>0.57000000000000028</v>
      </c>
      <c r="AE58" s="138">
        <f t="shared" si="1"/>
        <v>-6.2499999999999778E-3</v>
      </c>
    </row>
    <row r="59" spans="1:31" x14ac:dyDescent="0.25">
      <c r="O59" s="2"/>
      <c r="P59" s="83">
        <v>0.91</v>
      </c>
      <c r="Q59" s="83">
        <f t="shared" si="11"/>
        <v>29.474900000000002</v>
      </c>
      <c r="R59" s="83"/>
      <c r="W59" s="94">
        <v>42670</v>
      </c>
      <c r="X59" s="365">
        <v>32.17</v>
      </c>
      <c r="Y59" s="40">
        <v>32.75</v>
      </c>
      <c r="Z59" s="40">
        <v>31.92</v>
      </c>
      <c r="AA59" s="365">
        <v>32</v>
      </c>
      <c r="AB59" s="95">
        <v>636100</v>
      </c>
      <c r="AC59" s="243">
        <v>32</v>
      </c>
      <c r="AD59" s="2">
        <f t="shared" si="0"/>
        <v>0.82999999999999829</v>
      </c>
      <c r="AE59" s="138">
        <f t="shared" si="1"/>
        <v>-1.2484394506866447E-3</v>
      </c>
    </row>
    <row r="60" spans="1:31" x14ac:dyDescent="0.25">
      <c r="O60" s="2"/>
      <c r="P60" s="83">
        <v>0.9</v>
      </c>
      <c r="Q60" s="83">
        <f t="shared" si="11"/>
        <v>29.151</v>
      </c>
      <c r="R60" s="83"/>
      <c r="W60" s="94">
        <v>42669</v>
      </c>
      <c r="X60" s="365">
        <v>32.090000000000003</v>
      </c>
      <c r="Y60" s="40">
        <v>32.450000000000003</v>
      </c>
      <c r="Z60" s="40">
        <v>31.95</v>
      </c>
      <c r="AA60" s="365">
        <v>32.04</v>
      </c>
      <c r="AB60" s="95">
        <v>453100</v>
      </c>
      <c r="AC60" s="243">
        <v>32.04</v>
      </c>
      <c r="AD60" s="2">
        <f t="shared" si="0"/>
        <v>0.50000000000000355</v>
      </c>
      <c r="AE60" s="138">
        <f t="shared" si="1"/>
        <v>-6.5116279069767913E-3</v>
      </c>
    </row>
    <row r="61" spans="1:31" x14ac:dyDescent="0.25">
      <c r="W61" s="94">
        <v>42668</v>
      </c>
      <c r="X61" s="365">
        <v>32.43</v>
      </c>
      <c r="Y61" s="40">
        <v>32.75</v>
      </c>
      <c r="Z61" s="40">
        <v>32.119999999999997</v>
      </c>
      <c r="AA61" s="365">
        <v>32.25</v>
      </c>
      <c r="AB61" s="95">
        <v>603900</v>
      </c>
      <c r="AC61" s="243">
        <v>32.25</v>
      </c>
      <c r="AD61" s="2">
        <f t="shared" si="0"/>
        <v>0.63000000000000256</v>
      </c>
      <c r="AE61" s="138">
        <f t="shared" si="1"/>
        <v>-3.3992583436340817E-3</v>
      </c>
    </row>
    <row r="62" spans="1:31" x14ac:dyDescent="0.25">
      <c r="W62" s="94">
        <v>42667</v>
      </c>
      <c r="X62" s="365">
        <v>32.299999999999997</v>
      </c>
      <c r="Y62" s="40">
        <v>32.630000000000003</v>
      </c>
      <c r="Z62" s="40">
        <v>32.19</v>
      </c>
      <c r="AA62" s="365">
        <v>32.36</v>
      </c>
      <c r="AB62" s="95">
        <v>498200</v>
      </c>
      <c r="AC62" s="243">
        <v>32.36</v>
      </c>
      <c r="AD62" s="2">
        <f t="shared" si="0"/>
        <v>0.44000000000000483</v>
      </c>
      <c r="AE62" s="138">
        <f t="shared" si="1"/>
        <v>2.1678538247136281E-3</v>
      </c>
    </row>
    <row r="63" spans="1:31" x14ac:dyDescent="0.25">
      <c r="W63" s="94">
        <v>42664</v>
      </c>
      <c r="X63" s="365">
        <v>32.53</v>
      </c>
      <c r="Y63" s="40">
        <v>32.68</v>
      </c>
      <c r="Z63" s="40">
        <v>32.200000000000003</v>
      </c>
      <c r="AA63" s="365">
        <v>32.29</v>
      </c>
      <c r="AB63" s="95">
        <v>393100</v>
      </c>
      <c r="AC63" s="243">
        <v>32.29</v>
      </c>
      <c r="AD63" s="2">
        <f t="shared" si="0"/>
        <v>0.47999999999999687</v>
      </c>
      <c r="AE63" s="138">
        <f t="shared" si="1"/>
        <v>-3.7025609379820468E-3</v>
      </c>
    </row>
    <row r="64" spans="1:31" x14ac:dyDescent="0.25">
      <c r="W64" s="94">
        <v>42663</v>
      </c>
      <c r="X64" s="365">
        <v>32.130000000000003</v>
      </c>
      <c r="Y64" s="40">
        <v>32.56</v>
      </c>
      <c r="Z64" s="40">
        <v>32.11</v>
      </c>
      <c r="AA64" s="365">
        <v>32.409999999999997</v>
      </c>
      <c r="AB64" s="95">
        <v>494600</v>
      </c>
      <c r="AC64" s="243">
        <v>32.409999999999997</v>
      </c>
      <c r="AD64" s="2">
        <f t="shared" si="0"/>
        <v>0.45000000000000284</v>
      </c>
      <c r="AE64" s="138">
        <f t="shared" si="1"/>
        <v>5.2729528535977455E-3</v>
      </c>
    </row>
    <row r="65" spans="23:31" x14ac:dyDescent="0.25">
      <c r="W65" s="94">
        <v>42662</v>
      </c>
      <c r="X65" s="365">
        <v>32.25</v>
      </c>
      <c r="Y65" s="40">
        <v>32.79</v>
      </c>
      <c r="Z65" s="40">
        <v>31.94</v>
      </c>
      <c r="AA65" s="365">
        <v>32.24</v>
      </c>
      <c r="AB65" s="95">
        <v>464000</v>
      </c>
      <c r="AC65" s="243">
        <v>32.24</v>
      </c>
      <c r="AD65" s="2">
        <f t="shared" si="0"/>
        <v>0.84999999999999787</v>
      </c>
      <c r="AE65" s="138">
        <f t="shared" si="1"/>
        <v>-1.5484670176524329E-3</v>
      </c>
    </row>
    <row r="66" spans="23:31" x14ac:dyDescent="0.25">
      <c r="W66" s="94">
        <v>42661</v>
      </c>
      <c r="X66" s="365">
        <v>32.36</v>
      </c>
      <c r="Y66" s="40">
        <v>32.78</v>
      </c>
      <c r="Z66" s="40">
        <v>32.21</v>
      </c>
      <c r="AA66" s="365">
        <v>32.29</v>
      </c>
      <c r="AB66" s="95">
        <v>279800</v>
      </c>
      <c r="AC66" s="243">
        <v>32.29</v>
      </c>
      <c r="AD66" s="2">
        <f t="shared" si="0"/>
        <v>0.57000000000000028</v>
      </c>
      <c r="AE66" s="138">
        <f t="shared" si="1"/>
        <v>4.3545878693624918E-3</v>
      </c>
    </row>
    <row r="67" spans="23:31" x14ac:dyDescent="0.25">
      <c r="W67" s="94">
        <v>42660</v>
      </c>
      <c r="X67" s="365">
        <v>32.06</v>
      </c>
      <c r="Y67" s="40">
        <v>32.35</v>
      </c>
      <c r="Z67" s="40">
        <v>31.94</v>
      </c>
      <c r="AA67" s="365">
        <v>32.15</v>
      </c>
      <c r="AB67" s="95">
        <v>390300</v>
      </c>
      <c r="AC67" s="243">
        <v>32.15</v>
      </c>
      <c r="AD67" s="2">
        <f t="shared" si="0"/>
        <v>0.41000000000000014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39" priority="11">
      <formula>F29&gt;0</formula>
    </cfRule>
    <cfRule type="expression" dxfId="938" priority="12">
      <formula>F29&lt;0</formula>
    </cfRule>
  </conditionalFormatting>
  <conditionalFormatting sqref="F29:F35">
    <cfRule type="expression" dxfId="937" priority="13">
      <formula>F29&gt;0</formula>
    </cfRule>
    <cfRule type="expression" dxfId="936" priority="14">
      <formula>F29&lt;0</formula>
    </cfRule>
  </conditionalFormatting>
  <conditionalFormatting sqref="H29:H35">
    <cfRule type="expression" dxfId="935" priority="9">
      <formula>H29&gt;0</formula>
    </cfRule>
    <cfRule type="expression" dxfId="934" priority="10">
      <formula>H29&lt;0</formula>
    </cfRule>
  </conditionalFormatting>
  <conditionalFormatting sqref="F21:F28">
    <cfRule type="expression" dxfId="933" priority="7">
      <formula>F21&gt;0</formula>
    </cfRule>
    <cfRule type="expression" dxfId="932" priority="8">
      <formula>F21&lt;0</formula>
    </cfRule>
  </conditionalFormatting>
  <conditionalFormatting sqref="H21:H28">
    <cfRule type="expression" dxfId="931" priority="5">
      <formula>H21&gt;0</formula>
    </cfRule>
    <cfRule type="expression" dxfId="930" priority="6">
      <formula>H21&lt;0</formula>
    </cfRule>
  </conditionalFormatting>
  <conditionalFormatting sqref="Q8">
    <cfRule type="expression" dxfId="929" priority="1">
      <formula>Q8&gt;0</formula>
    </cfRule>
    <cfRule type="expression" dxfId="928" priority="2">
      <formula>Q8&lt;0</formula>
    </cfRule>
  </conditionalFormatting>
  <conditionalFormatting sqref="Q7">
    <cfRule type="expression" dxfId="927" priority="3">
      <formula>Q7&gt;0</formula>
    </cfRule>
    <cfRule type="expression" dxfId="92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29.88</v>
      </c>
      <c r="Y2" s="10">
        <v>30.13</v>
      </c>
      <c r="Z2" s="10">
        <v>29.84</v>
      </c>
      <c r="AA2" s="10">
        <v>30.05</v>
      </c>
      <c r="AB2" s="95">
        <v>6619800</v>
      </c>
      <c r="AC2" s="10">
        <v>30.05</v>
      </c>
      <c r="AD2" s="2">
        <f>Y2-Z2</f>
        <v>0.28999999999999915</v>
      </c>
      <c r="AE2" s="138">
        <f>AC2/AC3-1</f>
        <v>8.3892617449663476E-3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30.05</v>
      </c>
      <c r="T3" s="1"/>
      <c r="W3" s="133">
        <v>42754</v>
      </c>
      <c r="X3" s="10">
        <v>30.16</v>
      </c>
      <c r="Y3" s="10">
        <v>30.37</v>
      </c>
      <c r="Z3" s="10">
        <v>29.71</v>
      </c>
      <c r="AA3" s="10">
        <v>29.8</v>
      </c>
      <c r="AB3" s="95">
        <v>9174400</v>
      </c>
      <c r="AC3" s="10">
        <v>29.8</v>
      </c>
      <c r="AD3" s="2">
        <f t="shared" ref="AD3:AD66" si="0">Y3-Z3</f>
        <v>0.66000000000000014</v>
      </c>
      <c r="AE3" s="138">
        <f t="shared" ref="AE3:AE66" si="1">AC3/AC4-1</f>
        <v>-1.5526924347538773E-2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30.05</v>
      </c>
      <c r="R4" s="505">
        <v>8.3999999999999995E-3</v>
      </c>
      <c r="T4" s="163"/>
      <c r="U4" s="1"/>
      <c r="W4" s="133">
        <v>42753</v>
      </c>
      <c r="X4" s="10">
        <v>30.01</v>
      </c>
      <c r="Y4" s="10">
        <v>30.33</v>
      </c>
      <c r="Z4" s="10">
        <v>29.92</v>
      </c>
      <c r="AA4" s="10">
        <v>30.27</v>
      </c>
      <c r="AB4" s="95">
        <v>7185800</v>
      </c>
      <c r="AC4" s="10">
        <v>30.27</v>
      </c>
      <c r="AD4" s="2">
        <f t="shared" si="0"/>
        <v>0.40999999999999659</v>
      </c>
      <c r="AE4" s="138">
        <f t="shared" si="1"/>
        <v>1.1359839625793455E-2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29.89</v>
      </c>
      <c r="Y5" s="10">
        <v>30.11</v>
      </c>
      <c r="Z5" s="10">
        <v>29.86</v>
      </c>
      <c r="AA5" s="10">
        <v>29.93</v>
      </c>
      <c r="AB5" s="95">
        <v>4848100</v>
      </c>
      <c r="AC5" s="10">
        <v>29.93</v>
      </c>
      <c r="AD5" s="2">
        <f t="shared" si="0"/>
        <v>0.25</v>
      </c>
      <c r="AE5" s="138">
        <f t="shared" si="1"/>
        <v>-3.3300033300033283E-3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29.77</v>
      </c>
      <c r="Y6" s="10">
        <v>30.09</v>
      </c>
      <c r="Z6" s="10">
        <v>29.62</v>
      </c>
      <c r="AA6" s="10">
        <v>30.03</v>
      </c>
      <c r="AB6" s="95">
        <v>5403900</v>
      </c>
      <c r="AC6" s="10">
        <v>30.03</v>
      </c>
      <c r="AD6" s="2">
        <f t="shared" si="0"/>
        <v>0.46999999999999886</v>
      </c>
      <c r="AE6" s="138">
        <f t="shared" si="1"/>
        <v>7.3800738007381295E-3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42747</v>
      </c>
      <c r="X7" s="10">
        <v>30.05</v>
      </c>
      <c r="Y7" s="10">
        <v>30.07</v>
      </c>
      <c r="Z7" s="10">
        <v>29.67</v>
      </c>
      <c r="AA7" s="10">
        <v>29.81</v>
      </c>
      <c r="AB7" s="95">
        <v>5935800</v>
      </c>
      <c r="AC7" s="10">
        <v>29.81</v>
      </c>
      <c r="AD7" s="2">
        <f t="shared" si="0"/>
        <v>0.39999999999999858</v>
      </c>
      <c r="AE7" s="138">
        <f t="shared" si="1"/>
        <v>-8.9760638297872175E-3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29.72</v>
      </c>
      <c r="Y8" s="10">
        <v>30.1</v>
      </c>
      <c r="Z8" s="10">
        <v>29.59</v>
      </c>
      <c r="AA8" s="10">
        <v>30.08</v>
      </c>
      <c r="AB8" s="95">
        <v>8088000</v>
      </c>
      <c r="AC8" s="10">
        <v>30.08</v>
      </c>
      <c r="AD8" s="2">
        <f t="shared" si="0"/>
        <v>0.51000000000000156</v>
      </c>
      <c r="AE8" s="138">
        <f t="shared" si="1"/>
        <v>1.381867205931897E-2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29.58</v>
      </c>
      <c r="Y9" s="10">
        <v>30.08</v>
      </c>
      <c r="Z9" s="10">
        <v>29.25</v>
      </c>
      <c r="AA9" s="10">
        <v>29.67</v>
      </c>
      <c r="AB9" s="95">
        <v>8403200</v>
      </c>
      <c r="AC9" s="10">
        <v>29.67</v>
      </c>
      <c r="AD9" s="2">
        <f t="shared" si="0"/>
        <v>0.82999999999999829</v>
      </c>
      <c r="AE9" s="138">
        <f t="shared" si="1"/>
        <v>6.7865626060401585E-3</v>
      </c>
    </row>
    <row r="10" spans="1:31" x14ac:dyDescent="0.25">
      <c r="H10" s="72"/>
      <c r="O10" s="11" t="s">
        <v>214</v>
      </c>
      <c r="P10" s="34"/>
      <c r="Q10" s="2">
        <f>M44</f>
        <v>98.449999999999818</v>
      </c>
      <c r="W10" s="133">
        <v>42744</v>
      </c>
      <c r="X10" s="10">
        <v>29.58</v>
      </c>
      <c r="Y10" s="10">
        <v>29.66</v>
      </c>
      <c r="Z10" s="10">
        <v>29.25</v>
      </c>
      <c r="AA10" s="10">
        <v>29.47</v>
      </c>
      <c r="AB10" s="95">
        <v>6543300</v>
      </c>
      <c r="AC10" s="10">
        <v>29.47</v>
      </c>
      <c r="AD10" s="2">
        <f t="shared" si="0"/>
        <v>0.41000000000000014</v>
      </c>
      <c r="AE10" s="138">
        <f t="shared" si="1"/>
        <v>-1.6937669376694275E-3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1.2E-2</v>
      </c>
      <c r="W11" s="133">
        <v>42741</v>
      </c>
      <c r="X11" s="10">
        <v>29.03</v>
      </c>
      <c r="Y11" s="10">
        <v>29.6</v>
      </c>
      <c r="Z11" s="10">
        <v>28.85</v>
      </c>
      <c r="AA11" s="10">
        <v>29.52</v>
      </c>
      <c r="AB11" s="95">
        <v>8221800</v>
      </c>
      <c r="AC11" s="10">
        <v>29.52</v>
      </c>
      <c r="AD11" s="2">
        <f t="shared" si="0"/>
        <v>0.75</v>
      </c>
      <c r="AE11" s="138">
        <f t="shared" si="1"/>
        <v>1.7931034482758568E-2</v>
      </c>
    </row>
    <row r="12" spans="1:31" x14ac:dyDescent="0.25">
      <c r="H12" s="72"/>
      <c r="W12" s="133">
        <v>42740</v>
      </c>
      <c r="X12" s="10">
        <v>28.83</v>
      </c>
      <c r="Y12" s="10">
        <v>29.17</v>
      </c>
      <c r="Z12" s="10">
        <v>28.65</v>
      </c>
      <c r="AA12" s="10">
        <v>29</v>
      </c>
      <c r="AB12" s="95">
        <v>6325400</v>
      </c>
      <c r="AC12" s="10">
        <v>29</v>
      </c>
      <c r="AD12" s="2">
        <f t="shared" si="0"/>
        <v>0.52000000000000313</v>
      </c>
      <c r="AE12" s="138">
        <f t="shared" si="1"/>
        <v>-6.8917987594763197E-4</v>
      </c>
    </row>
    <row r="13" spans="1:31" x14ac:dyDescent="0.25">
      <c r="H13" s="72"/>
      <c r="W13" s="133">
        <v>42739</v>
      </c>
      <c r="X13" s="10">
        <v>28.88</v>
      </c>
      <c r="Y13" s="10">
        <v>29.19</v>
      </c>
      <c r="Z13" s="10">
        <v>28.76</v>
      </c>
      <c r="AA13" s="10">
        <v>29.02</v>
      </c>
      <c r="AB13" s="95">
        <v>8398700</v>
      </c>
      <c r="AC13" s="10">
        <v>29.02</v>
      </c>
      <c r="AD13" s="2">
        <f t="shared" si="0"/>
        <v>0.42999999999999972</v>
      </c>
      <c r="AE13" s="138">
        <f t="shared" si="1"/>
        <v>1.0445682451253546E-2</v>
      </c>
    </row>
    <row r="14" spans="1:31" x14ac:dyDescent="0.25">
      <c r="H14" s="72"/>
      <c r="W14" s="133">
        <v>42738</v>
      </c>
      <c r="X14" s="10">
        <v>28.42</v>
      </c>
      <c r="Y14" s="10">
        <v>29.04</v>
      </c>
      <c r="Z14" s="10">
        <v>28.27</v>
      </c>
      <c r="AA14" s="10">
        <v>28.72</v>
      </c>
      <c r="AB14" s="95">
        <v>10597900</v>
      </c>
      <c r="AC14" s="10">
        <v>28.72</v>
      </c>
      <c r="AD14" s="2">
        <f t="shared" si="0"/>
        <v>0.76999999999999957</v>
      </c>
      <c r="AE14" s="138">
        <f t="shared" si="1"/>
        <v>2.4251069900142586E-2</v>
      </c>
    </row>
    <row r="15" spans="1:31" x14ac:dyDescent="0.25">
      <c r="H15" s="72"/>
      <c r="W15" s="133">
        <v>42734</v>
      </c>
      <c r="X15" s="10">
        <v>28.29</v>
      </c>
      <c r="Y15" s="10">
        <v>28.37</v>
      </c>
      <c r="Z15" s="10">
        <v>27.92</v>
      </c>
      <c r="AA15" s="10">
        <v>28.04</v>
      </c>
      <c r="AB15" s="95">
        <v>6161200</v>
      </c>
      <c r="AC15" s="10">
        <v>28.04</v>
      </c>
      <c r="AD15" s="2">
        <f t="shared" si="0"/>
        <v>0.44999999999999929</v>
      </c>
      <c r="AE15" s="138">
        <f t="shared" si="1"/>
        <v>-8.4865629420085575E-3</v>
      </c>
    </row>
    <row r="16" spans="1:31" x14ac:dyDescent="0.25">
      <c r="H16" s="72"/>
      <c r="W16" s="133">
        <v>42733</v>
      </c>
      <c r="X16" s="10">
        <v>28.6</v>
      </c>
      <c r="Y16" s="10">
        <v>28.61</v>
      </c>
      <c r="Z16" s="10">
        <v>28.21</v>
      </c>
      <c r="AA16" s="10">
        <v>28.28</v>
      </c>
      <c r="AB16" s="95">
        <v>5199900</v>
      </c>
      <c r="AC16" s="10">
        <v>28.28</v>
      </c>
      <c r="AD16" s="2">
        <f t="shared" si="0"/>
        <v>0.39999999999999858</v>
      </c>
      <c r="AE16" s="138">
        <f t="shared" si="1"/>
        <v>-5.9753954305798995E-3</v>
      </c>
    </row>
    <row r="17" spans="1:31" x14ac:dyDescent="0.25">
      <c r="W17" s="133">
        <v>42732</v>
      </c>
      <c r="X17" s="10">
        <v>28.52</v>
      </c>
      <c r="Y17" s="10">
        <v>28.62</v>
      </c>
      <c r="Z17" s="10">
        <v>28.33</v>
      </c>
      <c r="AA17" s="10">
        <v>28.45</v>
      </c>
      <c r="AB17" s="95">
        <v>6137900</v>
      </c>
      <c r="AC17" s="10">
        <v>28.45</v>
      </c>
      <c r="AD17" s="2">
        <f t="shared" si="0"/>
        <v>0.2900000000000027</v>
      </c>
      <c r="AE17" s="138">
        <f t="shared" si="1"/>
        <v>-3.1534688156972246E-3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28.45</v>
      </c>
      <c r="Y18" s="10">
        <v>28.65</v>
      </c>
      <c r="Z18" s="10">
        <v>28.32</v>
      </c>
      <c r="AA18" s="10">
        <v>28.54</v>
      </c>
      <c r="AB18" s="95">
        <v>4924000</v>
      </c>
      <c r="AC18" s="10">
        <v>28.54</v>
      </c>
      <c r="AD18" s="2">
        <f t="shared" si="0"/>
        <v>0.32999999999999829</v>
      </c>
      <c r="AE18" s="138">
        <f t="shared" si="1"/>
        <v>5.6377730796335346E-3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28.35</v>
      </c>
      <c r="Y19" s="10">
        <v>28.48</v>
      </c>
      <c r="Z19" s="10">
        <v>28.24</v>
      </c>
      <c r="AA19" s="10">
        <v>28.38</v>
      </c>
      <c r="AB19" s="95">
        <v>4032000</v>
      </c>
      <c r="AC19" s="10">
        <v>28.38</v>
      </c>
      <c r="AD19" s="2">
        <f t="shared" si="0"/>
        <v>0.24000000000000199</v>
      </c>
      <c r="AE19" s="138">
        <f t="shared" si="1"/>
        <v>-1.7587055926837625E-3</v>
      </c>
    </row>
    <row r="20" spans="1:31" x14ac:dyDescent="0.25">
      <c r="W20" s="133">
        <v>42726</v>
      </c>
      <c r="X20" s="10">
        <v>26.53</v>
      </c>
      <c r="Y20" s="10">
        <v>28.47</v>
      </c>
      <c r="Z20" s="10">
        <v>26.53</v>
      </c>
      <c r="AA20" s="10">
        <v>28.43</v>
      </c>
      <c r="AB20" s="95">
        <v>7453800</v>
      </c>
      <c r="AC20" s="10">
        <v>28.43</v>
      </c>
      <c r="AD20" s="2">
        <f t="shared" si="0"/>
        <v>1.9399999999999977</v>
      </c>
      <c r="AE20" s="138">
        <f t="shared" si="1"/>
        <v>-7.029876977152627E-4</v>
      </c>
    </row>
    <row r="21" spans="1:31" x14ac:dyDescent="0.25">
      <c r="W21" s="133">
        <v>42725</v>
      </c>
      <c r="X21" s="10">
        <v>28.16</v>
      </c>
      <c r="Y21" s="10">
        <v>28.46</v>
      </c>
      <c r="Z21" s="10">
        <v>27.9</v>
      </c>
      <c r="AA21" s="10">
        <v>28.45</v>
      </c>
      <c r="AB21" s="95">
        <v>5902500</v>
      </c>
      <c r="AC21" s="10">
        <v>28.45</v>
      </c>
      <c r="AD21" s="2">
        <f t="shared" si="0"/>
        <v>0.56000000000000227</v>
      </c>
      <c r="AE21" s="138">
        <f t="shared" si="1"/>
        <v>9.5812633073102393E-3</v>
      </c>
    </row>
    <row r="22" spans="1:31" x14ac:dyDescent="0.25">
      <c r="W22" s="133">
        <v>42724</v>
      </c>
      <c r="X22" s="10">
        <v>28.28</v>
      </c>
      <c r="Y22" s="10">
        <v>28.48</v>
      </c>
      <c r="Z22" s="10">
        <v>28.05</v>
      </c>
      <c r="AA22" s="10">
        <v>28.18</v>
      </c>
      <c r="AB22" s="95">
        <v>5098700</v>
      </c>
      <c r="AC22" s="10">
        <v>28.18</v>
      </c>
      <c r="AD22" s="2">
        <f t="shared" si="0"/>
        <v>0.42999999999999972</v>
      </c>
      <c r="AE22" s="138">
        <f t="shared" si="1"/>
        <v>2.1337126600284861E-3</v>
      </c>
    </row>
    <row r="23" spans="1:31" x14ac:dyDescent="0.25">
      <c r="W23" s="133">
        <v>42723</v>
      </c>
      <c r="X23" s="10">
        <v>28.1</v>
      </c>
      <c r="Y23" s="10">
        <v>28.3</v>
      </c>
      <c r="Z23" s="10">
        <v>27.94</v>
      </c>
      <c r="AA23" s="10">
        <v>28.12</v>
      </c>
      <c r="AB23" s="95">
        <v>5815000</v>
      </c>
      <c r="AC23" s="10">
        <v>28.12</v>
      </c>
      <c r="AD23" s="2">
        <f t="shared" si="0"/>
        <v>0.35999999999999943</v>
      </c>
      <c r="AE23" s="138">
        <f t="shared" si="1"/>
        <v>3.2108455226542709E-3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28.05</v>
      </c>
      <c r="Y24" s="10">
        <v>28.49</v>
      </c>
      <c r="Z24" s="10">
        <v>27.87</v>
      </c>
      <c r="AA24" s="10">
        <v>28.03</v>
      </c>
      <c r="AB24" s="95">
        <v>11736200</v>
      </c>
      <c r="AC24" s="10">
        <v>28.03</v>
      </c>
      <c r="AD24" s="2">
        <f t="shared" si="0"/>
        <v>0.61999999999999744</v>
      </c>
      <c r="AE24" s="138">
        <f t="shared" si="1"/>
        <v>1.4290818149340634E-3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42719</v>
      </c>
      <c r="X25" s="10">
        <v>28.2</v>
      </c>
      <c r="Y25" s="10">
        <v>28.32</v>
      </c>
      <c r="Z25" s="10">
        <v>27.67</v>
      </c>
      <c r="AA25" s="10">
        <v>27.99</v>
      </c>
      <c r="AB25" s="95">
        <v>15057400</v>
      </c>
      <c r="AC25" s="10">
        <v>27.99</v>
      </c>
      <c r="AD25" s="2">
        <f t="shared" si="0"/>
        <v>0.64999999999999858</v>
      </c>
      <c r="AE25" s="138">
        <f t="shared" si="1"/>
        <v>-1.0706638115631772E-3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42718</v>
      </c>
      <c r="X26" s="10">
        <v>27.24</v>
      </c>
      <c r="Y26" s="10">
        <v>28.19</v>
      </c>
      <c r="Z26" s="10">
        <v>27.06</v>
      </c>
      <c r="AA26" s="10">
        <v>28.02</v>
      </c>
      <c r="AB26" s="95">
        <v>22223800</v>
      </c>
      <c r="AC26" s="10">
        <v>28.02</v>
      </c>
      <c r="AD26" s="2">
        <f t="shared" si="0"/>
        <v>1.1300000000000026</v>
      </c>
      <c r="AE26" s="138">
        <f t="shared" si="1"/>
        <v>3.6242603550295849E-2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42717</v>
      </c>
      <c r="X27" s="10">
        <v>26.3</v>
      </c>
      <c r="Y27" s="10">
        <v>27.04</v>
      </c>
      <c r="Z27" s="10">
        <v>26.28</v>
      </c>
      <c r="AA27" s="10">
        <v>27.04</v>
      </c>
      <c r="AB27" s="95">
        <v>17339600</v>
      </c>
      <c r="AC27" s="10">
        <v>27.04</v>
      </c>
      <c r="AD27" s="2">
        <f t="shared" si="0"/>
        <v>0.75999999999999801</v>
      </c>
      <c r="AE27" s="138">
        <f t="shared" si="1"/>
        <v>2.6575550493545874E-2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42716</v>
      </c>
      <c r="X28" s="10">
        <v>27.92</v>
      </c>
      <c r="Y28" s="10">
        <v>27.99</v>
      </c>
      <c r="Z28" s="10">
        <v>26.12</v>
      </c>
      <c r="AA28" s="10">
        <v>26.34</v>
      </c>
      <c r="AB28" s="95">
        <v>26527900</v>
      </c>
      <c r="AC28" s="10">
        <v>26.34</v>
      </c>
      <c r="AD28" s="2">
        <f t="shared" si="0"/>
        <v>1.8699999999999974</v>
      </c>
      <c r="AE28" s="138">
        <f t="shared" si="1"/>
        <v>-6.6288550159517956E-2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42713</v>
      </c>
      <c r="X29" s="10">
        <v>28.62</v>
      </c>
      <c r="Y29" s="10">
        <v>30.42</v>
      </c>
      <c r="Z29" s="10">
        <v>27.54</v>
      </c>
      <c r="AA29" s="10">
        <v>28.21</v>
      </c>
      <c r="AB29" s="95">
        <v>41354700</v>
      </c>
      <c r="AC29" s="10">
        <v>28.21</v>
      </c>
      <c r="AD29" s="2">
        <f t="shared" si="0"/>
        <v>2.8800000000000026</v>
      </c>
      <c r="AE29" s="138">
        <f t="shared" si="1"/>
        <v>-1.501396648044695E-2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42712</v>
      </c>
      <c r="X30" s="10">
        <v>28.24</v>
      </c>
      <c r="Y30" s="10">
        <v>28.66</v>
      </c>
      <c r="Z30" s="10">
        <v>28.14</v>
      </c>
      <c r="AA30" s="10">
        <v>28.64</v>
      </c>
      <c r="AB30" s="95">
        <v>10454600</v>
      </c>
      <c r="AC30" s="10">
        <v>28.64</v>
      </c>
      <c r="AD30" s="2">
        <f t="shared" si="0"/>
        <v>0.51999999999999957</v>
      </c>
      <c r="AE30" s="138">
        <f t="shared" si="1"/>
        <v>1.8854500177872602E-2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42711</v>
      </c>
      <c r="X31" s="10">
        <v>27.48</v>
      </c>
      <c r="Y31" s="10">
        <v>28.14</v>
      </c>
      <c r="Z31" s="10">
        <v>27.39</v>
      </c>
      <c r="AA31" s="10">
        <v>28.11</v>
      </c>
      <c r="AB31" s="95">
        <v>9987800</v>
      </c>
      <c r="AC31" s="10">
        <v>28.11</v>
      </c>
      <c r="AD31" s="2">
        <f t="shared" si="0"/>
        <v>0.75</v>
      </c>
      <c r="AE31" s="138">
        <f t="shared" si="1"/>
        <v>2.218181818181808E-2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42710</v>
      </c>
      <c r="X32" s="10">
        <v>27.54</v>
      </c>
      <c r="Y32" s="10">
        <v>27.67</v>
      </c>
      <c r="Z32" s="10">
        <v>27.25</v>
      </c>
      <c r="AA32" s="10">
        <v>27.5</v>
      </c>
      <c r="AB32" s="95">
        <v>12649200</v>
      </c>
      <c r="AC32" s="10">
        <v>27.5</v>
      </c>
      <c r="AD32" s="2">
        <f t="shared" si="0"/>
        <v>0.42000000000000171</v>
      </c>
      <c r="AE32" s="138">
        <f t="shared" si="1"/>
        <v>-2.1770682148040121E-3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27.54</v>
      </c>
      <c r="Y33" s="10">
        <v>27.61</v>
      </c>
      <c r="Z33" s="10">
        <v>26.82</v>
      </c>
      <c r="AA33" s="10">
        <v>27.56</v>
      </c>
      <c r="AB33" s="95">
        <v>13787000</v>
      </c>
      <c r="AC33" s="10">
        <v>27.56</v>
      </c>
      <c r="AD33" s="2">
        <f t="shared" si="0"/>
        <v>0.78999999999999915</v>
      </c>
      <c r="AE33" s="138">
        <f t="shared" si="1"/>
        <v>5.839416058394109E-3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28.33</v>
      </c>
      <c r="Y34" s="10">
        <v>28.33</v>
      </c>
      <c r="Z34" s="10">
        <v>27.2</v>
      </c>
      <c r="AA34" s="10">
        <v>27.4</v>
      </c>
      <c r="AB34" s="95">
        <v>10844900</v>
      </c>
      <c r="AC34" s="10">
        <v>27.4</v>
      </c>
      <c r="AD34" s="2">
        <f t="shared" si="0"/>
        <v>1.129999999999999</v>
      </c>
      <c r="AE34" s="138">
        <f t="shared" si="1"/>
        <v>-2.8368794326241176E-2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28.07</v>
      </c>
      <c r="Y35" s="10">
        <v>28.43</v>
      </c>
      <c r="Z35" s="10">
        <v>27.97</v>
      </c>
      <c r="AA35" s="10">
        <v>28.2</v>
      </c>
      <c r="AB35" s="95">
        <v>8941500</v>
      </c>
      <c r="AC35" s="10">
        <v>28.2</v>
      </c>
      <c r="AD35" s="2">
        <f t="shared" si="0"/>
        <v>0.46000000000000085</v>
      </c>
      <c r="AE35" s="138">
        <f t="shared" si="1"/>
        <v>3.2017075773747017E-3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28.39</v>
      </c>
      <c r="Y36" s="10">
        <v>28.54</v>
      </c>
      <c r="Z36" s="10">
        <v>28.11</v>
      </c>
      <c r="AA36" s="10">
        <v>28.11</v>
      </c>
      <c r="AB36" s="95">
        <v>9720400</v>
      </c>
      <c r="AC36" s="10">
        <v>28.11</v>
      </c>
      <c r="AD36" s="2">
        <f t="shared" si="0"/>
        <v>0.42999999999999972</v>
      </c>
      <c r="AE36" s="138">
        <f t="shared" si="1"/>
        <v>-1.2644889357218081E-2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42703</v>
      </c>
      <c r="X37" s="10">
        <v>28.42</v>
      </c>
      <c r="Y37" s="10">
        <v>28.52</v>
      </c>
      <c r="Z37" s="10">
        <v>28.17</v>
      </c>
      <c r="AA37" s="10">
        <v>28.47</v>
      </c>
      <c r="AB37" s="95">
        <v>7317800</v>
      </c>
      <c r="AC37" s="10">
        <v>28.47</v>
      </c>
      <c r="AD37" s="2">
        <f t="shared" si="0"/>
        <v>0.34999999999999787</v>
      </c>
      <c r="AE37" s="138">
        <f t="shared" si="1"/>
        <v>5.6517131755562389E-3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42702</v>
      </c>
      <c r="X38" s="10">
        <v>28.24</v>
      </c>
      <c r="Y38" s="10">
        <v>28.5</v>
      </c>
      <c r="Z38" s="10">
        <v>28.12</v>
      </c>
      <c r="AA38" s="10">
        <v>28.31</v>
      </c>
      <c r="AB38" s="95">
        <v>7388200</v>
      </c>
      <c r="AC38" s="10">
        <v>28.31</v>
      </c>
      <c r="AD38" s="2">
        <f t="shared" si="0"/>
        <v>0.37999999999999901</v>
      </c>
      <c r="AE38" s="138">
        <f t="shared" si="1"/>
        <v>-1.7630465444288257E-3</v>
      </c>
    </row>
    <row r="39" spans="1:31" x14ac:dyDescent="0.25">
      <c r="A39" s="23" t="s">
        <v>307</v>
      </c>
      <c r="B39" s="74"/>
      <c r="C39" s="4"/>
      <c r="D39" s="3"/>
      <c r="E39" s="3"/>
      <c r="F39" s="3"/>
      <c r="G39" s="3"/>
      <c r="H39" s="280"/>
      <c r="I39" s="3"/>
      <c r="W39" s="133">
        <v>42699</v>
      </c>
      <c r="X39" s="10">
        <v>28.34</v>
      </c>
      <c r="Y39" s="10">
        <v>28.44</v>
      </c>
      <c r="Z39" s="10">
        <v>28.24</v>
      </c>
      <c r="AA39" s="10">
        <v>28.36</v>
      </c>
      <c r="AB39" s="95">
        <v>3017500</v>
      </c>
      <c r="AC39" s="10">
        <v>28.36</v>
      </c>
      <c r="AD39" s="2">
        <f t="shared" si="0"/>
        <v>0.20000000000000284</v>
      </c>
      <c r="AE39" s="138">
        <f t="shared" si="1"/>
        <v>-1.4084507042253502E-3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2" t="s">
        <v>78</v>
      </c>
      <c r="P40" s="632"/>
      <c r="W40" s="133">
        <v>42697</v>
      </c>
      <c r="X40" s="10">
        <v>28.28</v>
      </c>
      <c r="Y40" s="10">
        <v>28.49</v>
      </c>
      <c r="Z40" s="10">
        <v>28.16</v>
      </c>
      <c r="AA40" s="10">
        <v>28.4</v>
      </c>
      <c r="AB40" s="95">
        <v>5235100</v>
      </c>
      <c r="AC40" s="10">
        <v>28.4</v>
      </c>
      <c r="AD40" s="2">
        <f t="shared" si="0"/>
        <v>0.32999999999999829</v>
      </c>
      <c r="AE40" s="138">
        <f t="shared" si="1"/>
        <v>4.598514326140668E-3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33.055000000000007</v>
      </c>
      <c r="Q41" s="2"/>
      <c r="W41" s="133">
        <v>42696</v>
      </c>
      <c r="X41" s="10">
        <v>27.89</v>
      </c>
      <c r="Y41" s="10">
        <v>28.37</v>
      </c>
      <c r="Z41" s="10">
        <v>27.78</v>
      </c>
      <c r="AA41" s="10">
        <v>28.27</v>
      </c>
      <c r="AB41" s="95">
        <v>6884200</v>
      </c>
      <c r="AC41" s="10">
        <v>28.27</v>
      </c>
      <c r="AD41" s="2">
        <f t="shared" si="0"/>
        <v>0.58999999999999986</v>
      </c>
      <c r="AE41" s="138">
        <f t="shared" si="1"/>
        <v>1.6906474820143735E-2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32.7545</v>
      </c>
      <c r="Q42" s="2"/>
      <c r="T42" s="91" t="s">
        <v>113</v>
      </c>
      <c r="W42" s="133">
        <v>42695</v>
      </c>
      <c r="X42" s="10">
        <v>27.78</v>
      </c>
      <c r="Y42" s="10">
        <v>27.88</v>
      </c>
      <c r="Z42" s="10">
        <v>27.64</v>
      </c>
      <c r="AA42" s="10">
        <v>27.8</v>
      </c>
      <c r="AB42" s="95">
        <v>4766600</v>
      </c>
      <c r="AC42" s="10">
        <v>27.8</v>
      </c>
      <c r="AD42" s="2">
        <f t="shared" si="0"/>
        <v>0.23999999999999844</v>
      </c>
      <c r="AE42" s="138">
        <f t="shared" si="1"/>
        <v>-7.1890726096335289E-4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32.454000000000001</v>
      </c>
      <c r="Q43" s="2"/>
      <c r="T43" s="128" t="s">
        <v>98</v>
      </c>
      <c r="U43" s="129">
        <v>29.8</v>
      </c>
      <c r="W43" s="133">
        <v>42692</v>
      </c>
      <c r="X43" s="10">
        <v>27.82</v>
      </c>
      <c r="Y43" s="10">
        <v>28</v>
      </c>
      <c r="Z43" s="10">
        <v>27.73</v>
      </c>
      <c r="AA43" s="10">
        <v>27.82</v>
      </c>
      <c r="AB43" s="95">
        <v>8366100</v>
      </c>
      <c r="AC43" s="10">
        <v>27.82</v>
      </c>
      <c r="AD43" s="2">
        <f t="shared" si="0"/>
        <v>0.26999999999999957</v>
      </c>
      <c r="AE43" s="138">
        <f t="shared" si="1"/>
        <v>-3.5816618911175269E-3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32.153500000000001</v>
      </c>
      <c r="Q44" s="2"/>
      <c r="T44" s="93" t="s">
        <v>99</v>
      </c>
      <c r="U44" s="130">
        <v>29.88</v>
      </c>
      <c r="W44" s="133">
        <v>42691</v>
      </c>
      <c r="X44" s="10">
        <v>27.61</v>
      </c>
      <c r="Y44" s="10">
        <v>27.93</v>
      </c>
      <c r="Z44" s="10">
        <v>27.43</v>
      </c>
      <c r="AA44" s="10">
        <v>27.92</v>
      </c>
      <c r="AB44" s="95">
        <v>8169900</v>
      </c>
      <c r="AC44" s="10">
        <v>27.92</v>
      </c>
      <c r="AD44" s="2">
        <f t="shared" si="0"/>
        <v>0.5</v>
      </c>
      <c r="AE44" s="138">
        <f t="shared" si="1"/>
        <v>1.3798111837327598E-2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31.853000000000002</v>
      </c>
      <c r="Q45" s="2"/>
      <c r="T45" s="93" t="s">
        <v>100</v>
      </c>
      <c r="U45" s="130" t="s">
        <v>486</v>
      </c>
      <c r="W45" s="133">
        <v>42690</v>
      </c>
      <c r="X45" s="10">
        <v>27.45</v>
      </c>
      <c r="Y45" s="10">
        <v>27.65</v>
      </c>
      <c r="Z45" s="10">
        <v>27.36</v>
      </c>
      <c r="AA45" s="10">
        <v>27.54</v>
      </c>
      <c r="AB45" s="95">
        <v>5690600</v>
      </c>
      <c r="AC45" s="10">
        <v>27.54</v>
      </c>
      <c r="AD45" s="2">
        <f t="shared" si="0"/>
        <v>0.28999999999999915</v>
      </c>
      <c r="AE45" s="138">
        <f t="shared" si="1"/>
        <v>3.2786885245901232E-3</v>
      </c>
    </row>
    <row r="46" spans="1:31" x14ac:dyDescent="0.25">
      <c r="A46" s="265" t="s">
        <v>287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31.552500000000002</v>
      </c>
      <c r="Q46" s="2"/>
      <c r="T46" s="93" t="s">
        <v>101</v>
      </c>
      <c r="U46" s="130" t="s">
        <v>487</v>
      </c>
      <c r="W46" s="133">
        <v>42689</v>
      </c>
      <c r="X46" s="10">
        <v>27.51</v>
      </c>
      <c r="Y46" s="10">
        <v>27.59</v>
      </c>
      <c r="Z46" s="10">
        <v>27.37</v>
      </c>
      <c r="AA46" s="10">
        <v>27.45</v>
      </c>
      <c r="AB46" s="95">
        <v>8671300</v>
      </c>
      <c r="AC46" s="10">
        <v>27.45</v>
      </c>
      <c r="AD46" s="2">
        <f t="shared" si="0"/>
        <v>0.21999999999999886</v>
      </c>
      <c r="AE46" s="138">
        <f t="shared" si="1"/>
        <v>-2.5436046511627675E-3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31.252000000000002</v>
      </c>
      <c r="Q47" s="2"/>
      <c r="T47" s="93" t="s">
        <v>102</v>
      </c>
      <c r="U47" s="130">
        <v>32.28</v>
      </c>
      <c r="W47" s="133">
        <v>42688</v>
      </c>
      <c r="X47" s="10">
        <v>27.1</v>
      </c>
      <c r="Y47" s="10">
        <v>27.55</v>
      </c>
      <c r="Z47" s="10">
        <v>27.1</v>
      </c>
      <c r="AA47" s="10">
        <v>27.52</v>
      </c>
      <c r="AB47" s="95">
        <v>11137600</v>
      </c>
      <c r="AC47" s="10">
        <v>27.52</v>
      </c>
      <c r="AD47" s="2">
        <f t="shared" si="0"/>
        <v>0.44999999999999929</v>
      </c>
      <c r="AE47" s="138">
        <f t="shared" si="1"/>
        <v>1.4001473839351464E-2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30.951500000000003</v>
      </c>
      <c r="Q48" s="2"/>
      <c r="T48" s="93" t="s">
        <v>103</v>
      </c>
      <c r="U48" s="130">
        <v>1.62473</v>
      </c>
      <c r="W48" s="133">
        <v>42685</v>
      </c>
      <c r="X48" s="10">
        <v>27.12</v>
      </c>
      <c r="Y48" s="10">
        <v>27.21</v>
      </c>
      <c r="Z48" s="10">
        <v>26.7</v>
      </c>
      <c r="AA48" s="10">
        <v>27.14</v>
      </c>
      <c r="AB48" s="95">
        <v>11671500</v>
      </c>
      <c r="AC48" s="10">
        <v>27.14</v>
      </c>
      <c r="AD48" s="2">
        <f t="shared" si="0"/>
        <v>0.51000000000000156</v>
      </c>
      <c r="AE48" s="138">
        <f t="shared" si="1"/>
        <v>-7.3637702503681624E-4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30.651</v>
      </c>
      <c r="Q49" s="2"/>
      <c r="T49" s="93" t="s">
        <v>104</v>
      </c>
      <c r="U49" s="130" t="s">
        <v>434</v>
      </c>
      <c r="W49" s="133">
        <v>42684</v>
      </c>
      <c r="X49" s="10">
        <v>27.45</v>
      </c>
      <c r="Y49" s="10">
        <v>27.77</v>
      </c>
      <c r="Z49" s="10">
        <v>27.09</v>
      </c>
      <c r="AA49" s="10">
        <v>27.16</v>
      </c>
      <c r="AB49" s="95">
        <v>13125600</v>
      </c>
      <c r="AC49" s="10">
        <v>27.16</v>
      </c>
      <c r="AD49" s="2">
        <f t="shared" si="0"/>
        <v>0.67999999999999972</v>
      </c>
      <c r="AE49" s="138">
        <f t="shared" si="1"/>
        <v>-1.0924981791696986E-2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30.3505</v>
      </c>
      <c r="Q50" s="2"/>
      <c r="T50" s="93"/>
      <c r="U50" s="130"/>
      <c r="W50" s="133">
        <v>42683</v>
      </c>
      <c r="X50" s="10">
        <v>26.57</v>
      </c>
      <c r="Y50" s="10">
        <v>27.54</v>
      </c>
      <c r="Z50" s="10">
        <v>26.4</v>
      </c>
      <c r="AA50" s="10">
        <v>27.46</v>
      </c>
      <c r="AB50" s="95">
        <v>14704500</v>
      </c>
      <c r="AC50" s="10">
        <v>27.46</v>
      </c>
      <c r="AD50" s="2">
        <f t="shared" si="0"/>
        <v>1.1400000000000006</v>
      </c>
      <c r="AE50" s="138">
        <f t="shared" si="1"/>
        <v>1.3658176448874126E-2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30.05</v>
      </c>
      <c r="Q51" s="2"/>
      <c r="T51" s="93" t="s">
        <v>105</v>
      </c>
      <c r="U51" s="130" t="s">
        <v>488</v>
      </c>
      <c r="W51" s="133">
        <v>42682</v>
      </c>
      <c r="X51" s="10">
        <v>27.46</v>
      </c>
      <c r="Y51" s="10">
        <v>27.46</v>
      </c>
      <c r="Z51" s="10">
        <v>26.96</v>
      </c>
      <c r="AA51" s="10">
        <v>27.09</v>
      </c>
      <c r="AB51" s="95">
        <v>12120700</v>
      </c>
      <c r="AC51" s="10">
        <v>27.09</v>
      </c>
      <c r="AD51" s="2">
        <f t="shared" si="0"/>
        <v>0.5</v>
      </c>
      <c r="AE51" s="138">
        <f t="shared" si="1"/>
        <v>-1.0952902519167584E-2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29.749500000000001</v>
      </c>
      <c r="Q52" s="2"/>
      <c r="T52" s="93" t="s">
        <v>106</v>
      </c>
      <c r="U52" s="130" t="s">
        <v>331</v>
      </c>
      <c r="W52" s="133">
        <v>42681</v>
      </c>
      <c r="X52" s="10">
        <v>27.42</v>
      </c>
      <c r="Y52" s="10">
        <v>27.43</v>
      </c>
      <c r="Z52" s="10">
        <v>27.12</v>
      </c>
      <c r="AA52" s="10">
        <v>27.39</v>
      </c>
      <c r="AB52" s="95">
        <v>13122300</v>
      </c>
      <c r="AC52" s="10">
        <v>27.39</v>
      </c>
      <c r="AD52" s="2">
        <f t="shared" si="0"/>
        <v>0.30999999999999872</v>
      </c>
      <c r="AE52" s="138">
        <f t="shared" si="1"/>
        <v>1.6703786191536674E-2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29.449000000000002</v>
      </c>
      <c r="Q53" s="2"/>
      <c r="T53" s="93" t="s">
        <v>107</v>
      </c>
      <c r="U53" s="131">
        <v>6710560</v>
      </c>
      <c r="W53" s="133">
        <v>42678</v>
      </c>
      <c r="X53" s="10">
        <v>27.49</v>
      </c>
      <c r="Y53" s="10">
        <v>27.7</v>
      </c>
      <c r="Z53" s="10">
        <v>26.9</v>
      </c>
      <c r="AA53" s="10">
        <v>26.94</v>
      </c>
      <c r="AB53" s="95">
        <v>15945300</v>
      </c>
      <c r="AC53" s="10">
        <v>26.94</v>
      </c>
      <c r="AD53" s="2">
        <f t="shared" si="0"/>
        <v>0.80000000000000071</v>
      </c>
      <c r="AE53" s="138">
        <f t="shared" si="1"/>
        <v>-2.7787802237459358E-2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29.148499999999999</v>
      </c>
      <c r="T54" s="93" t="s">
        <v>110</v>
      </c>
      <c r="U54" s="131">
        <v>10870500</v>
      </c>
      <c r="W54" s="133">
        <v>42677</v>
      </c>
      <c r="X54" s="10">
        <v>26.76</v>
      </c>
      <c r="Y54" s="10">
        <v>27.84</v>
      </c>
      <c r="Z54" s="10">
        <v>26.7</v>
      </c>
      <c r="AA54" s="10">
        <v>27.71</v>
      </c>
      <c r="AB54" s="95">
        <v>28811200</v>
      </c>
      <c r="AC54" s="10">
        <v>27.71</v>
      </c>
      <c r="AD54" s="2">
        <f t="shared" si="0"/>
        <v>1.1400000000000006</v>
      </c>
      <c r="AE54" s="138">
        <f t="shared" si="1"/>
        <v>7.2783584978707072E-2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28.847999999999999</v>
      </c>
      <c r="T55" s="93" t="s">
        <v>108</v>
      </c>
      <c r="U55" s="130" t="s">
        <v>629</v>
      </c>
      <c r="W55" s="133">
        <v>42676</v>
      </c>
      <c r="X55" s="10">
        <v>26.28</v>
      </c>
      <c r="Y55" s="10">
        <v>26.28</v>
      </c>
      <c r="Z55" s="10">
        <v>25.73</v>
      </c>
      <c r="AA55" s="10">
        <v>25.83</v>
      </c>
      <c r="AB55" s="95">
        <v>12849000</v>
      </c>
      <c r="AC55" s="10">
        <v>25.83</v>
      </c>
      <c r="AD55" s="2">
        <f t="shared" si="0"/>
        <v>0.55000000000000071</v>
      </c>
      <c r="AE55" s="138">
        <f t="shared" si="1"/>
        <v>-1.3745704467354014E-2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28.547499999999999</v>
      </c>
      <c r="T56" s="93" t="s">
        <v>111</v>
      </c>
      <c r="U56" s="130">
        <v>19.86</v>
      </c>
      <c r="W56" s="133">
        <v>42675</v>
      </c>
      <c r="X56" s="10">
        <v>26.26</v>
      </c>
      <c r="Y56" s="10">
        <v>26.31</v>
      </c>
      <c r="Z56" s="10">
        <v>25.95</v>
      </c>
      <c r="AA56" s="10">
        <v>26.19</v>
      </c>
      <c r="AB56" s="95">
        <v>13792400</v>
      </c>
      <c r="AC56" s="10">
        <v>26.19</v>
      </c>
      <c r="AD56" s="2">
        <f t="shared" si="0"/>
        <v>0.35999999999999943</v>
      </c>
      <c r="AE56" s="138">
        <f t="shared" si="1"/>
        <v>-3.0452988199466402E-3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28.247</v>
      </c>
      <c r="T57" s="93" t="s">
        <v>112</v>
      </c>
      <c r="U57" s="130">
        <v>1.51</v>
      </c>
      <c r="W57" s="133">
        <v>42674</v>
      </c>
      <c r="X57" s="10">
        <v>26.32</v>
      </c>
      <c r="Y57" s="10">
        <v>26.55</v>
      </c>
      <c r="Z57" s="10">
        <v>26.21</v>
      </c>
      <c r="AA57" s="10">
        <v>26.27</v>
      </c>
      <c r="AB57" s="95">
        <v>13676600</v>
      </c>
      <c r="AC57" s="10">
        <v>26.27</v>
      </c>
      <c r="AD57" s="2">
        <f t="shared" si="0"/>
        <v>0.33999999999999986</v>
      </c>
      <c r="AE57" s="138">
        <f t="shared" si="1"/>
        <v>7.6190476190474143E-4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27.946500000000004</v>
      </c>
      <c r="T58" s="93" t="s">
        <v>109</v>
      </c>
      <c r="U58" s="130" t="s">
        <v>630</v>
      </c>
      <c r="W58" s="133">
        <v>42671</v>
      </c>
      <c r="X58" s="10">
        <v>26.13</v>
      </c>
      <c r="Y58" s="10">
        <v>26.34</v>
      </c>
      <c r="Z58" s="10">
        <v>26.08</v>
      </c>
      <c r="AA58" s="10">
        <v>26.25</v>
      </c>
      <c r="AB58" s="95">
        <v>9204400</v>
      </c>
      <c r="AC58" s="10">
        <v>26.25</v>
      </c>
      <c r="AD58" s="2">
        <f t="shared" si="0"/>
        <v>0.26000000000000156</v>
      </c>
      <c r="AE58" s="138">
        <f t="shared" si="1"/>
        <v>5.3619302949061698E-3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27.646000000000001</v>
      </c>
      <c r="W59" s="133">
        <v>42670</v>
      </c>
      <c r="X59" s="10">
        <v>26.45</v>
      </c>
      <c r="Y59" s="10">
        <v>26.53</v>
      </c>
      <c r="Z59" s="10">
        <v>25.99</v>
      </c>
      <c r="AA59" s="10">
        <v>26.11</v>
      </c>
      <c r="AB59" s="95">
        <v>9854600</v>
      </c>
      <c r="AC59" s="10">
        <v>26.11</v>
      </c>
      <c r="AD59" s="2">
        <f t="shared" si="0"/>
        <v>0.5400000000000027</v>
      </c>
      <c r="AE59" s="138">
        <f t="shared" si="1"/>
        <v>-1.0984848484848486E-2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27.345500000000001</v>
      </c>
      <c r="W60" s="133">
        <v>42669</v>
      </c>
      <c r="X60" s="10">
        <v>25.63</v>
      </c>
      <c r="Y60" s="10">
        <v>26.45</v>
      </c>
      <c r="Z60" s="10">
        <v>25.51</v>
      </c>
      <c r="AA60" s="10">
        <v>26.4</v>
      </c>
      <c r="AB60" s="95">
        <v>17805200</v>
      </c>
      <c r="AC60" s="10">
        <v>26.4</v>
      </c>
      <c r="AD60" s="2">
        <f t="shared" si="0"/>
        <v>0.93999999999999773</v>
      </c>
      <c r="AE60" s="138">
        <f t="shared" si="1"/>
        <v>3.2863849765258246E-2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27.045000000000002</v>
      </c>
      <c r="W61" s="133">
        <v>42668</v>
      </c>
      <c r="X61" s="10">
        <v>25.59</v>
      </c>
      <c r="Y61" s="10">
        <v>25.7</v>
      </c>
      <c r="Z61" s="10">
        <v>25.47</v>
      </c>
      <c r="AA61" s="10">
        <v>25.56</v>
      </c>
      <c r="AB61" s="95">
        <v>8028900</v>
      </c>
      <c r="AC61" s="10">
        <v>25.56</v>
      </c>
      <c r="AD61" s="2">
        <f t="shared" si="0"/>
        <v>0.23000000000000043</v>
      </c>
      <c r="AE61" s="138">
        <f t="shared" si="1"/>
        <v>-3.9108330074311137E-4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42667</v>
      </c>
      <c r="X62" s="10">
        <v>26.05</v>
      </c>
      <c r="Y62" s="10">
        <v>26.22</v>
      </c>
      <c r="Z62" s="10">
        <v>25.33</v>
      </c>
      <c r="AA62" s="10">
        <v>25.57</v>
      </c>
      <c r="AB62" s="95">
        <v>15518800</v>
      </c>
      <c r="AC62" s="10">
        <v>25.57</v>
      </c>
      <c r="AD62" s="2">
        <f t="shared" si="0"/>
        <v>0.89000000000000057</v>
      </c>
      <c r="AE62" s="138">
        <f t="shared" si="1"/>
        <v>-1.0065814943863605E-2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42664</v>
      </c>
      <c r="X63" s="10">
        <v>25.08</v>
      </c>
      <c r="Y63" s="10">
        <v>26.03</v>
      </c>
      <c r="Z63" s="10">
        <v>25.01</v>
      </c>
      <c r="AA63" s="10">
        <v>25.83</v>
      </c>
      <c r="AB63" s="95">
        <v>21050800</v>
      </c>
      <c r="AC63" s="10">
        <v>25.83</v>
      </c>
      <c r="AD63" s="2">
        <f t="shared" si="0"/>
        <v>1.0199999999999996</v>
      </c>
      <c r="AE63" s="138">
        <f t="shared" si="1"/>
        <v>2.2160664819944609E-2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42663</v>
      </c>
      <c r="X64" s="10">
        <v>25.12</v>
      </c>
      <c r="Y64" s="10">
        <v>25.4</v>
      </c>
      <c r="Z64" s="10">
        <v>24.96</v>
      </c>
      <c r="AA64" s="10">
        <v>25.27</v>
      </c>
      <c r="AB64" s="95">
        <v>18001900</v>
      </c>
      <c r="AC64" s="10">
        <v>25.27</v>
      </c>
      <c r="AD64" s="2">
        <f t="shared" si="0"/>
        <v>0.43999999999999773</v>
      </c>
      <c r="AE64" s="138">
        <f t="shared" si="1"/>
        <v>5.9713375796177637E-3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42662</v>
      </c>
      <c r="X65" s="10">
        <v>25.02</v>
      </c>
      <c r="Y65" s="10">
        <v>25.16</v>
      </c>
      <c r="Z65" s="10">
        <v>24.93</v>
      </c>
      <c r="AA65" s="10">
        <v>25.12</v>
      </c>
      <c r="AB65" s="95">
        <v>8852800</v>
      </c>
      <c r="AC65" s="10">
        <v>25.12</v>
      </c>
      <c r="AD65" s="2">
        <f t="shared" si="0"/>
        <v>0.23000000000000043</v>
      </c>
      <c r="AE65" s="138">
        <f t="shared" si="1"/>
        <v>6.4102564102563875E-3</v>
      </c>
    </row>
    <row r="66" spans="2:31" x14ac:dyDescent="0.25">
      <c r="W66" s="133">
        <v>42661</v>
      </c>
      <c r="X66" s="10">
        <v>24.89</v>
      </c>
      <c r="Y66" s="10">
        <v>25.1</v>
      </c>
      <c r="Z66" s="10">
        <v>24.78</v>
      </c>
      <c r="AA66" s="10">
        <v>24.96</v>
      </c>
      <c r="AB66" s="95">
        <v>10781100</v>
      </c>
      <c r="AC66" s="10">
        <v>24.96</v>
      </c>
      <c r="AD66" s="2">
        <f t="shared" si="0"/>
        <v>0.32000000000000028</v>
      </c>
      <c r="AE66" s="138">
        <f t="shared" si="1"/>
        <v>1.1345218800648427E-2</v>
      </c>
    </row>
    <row r="67" spans="2:31" x14ac:dyDescent="0.25">
      <c r="W67" s="133">
        <v>42660</v>
      </c>
      <c r="X67" s="10">
        <v>24.75</v>
      </c>
      <c r="Y67" s="10">
        <v>24.81</v>
      </c>
      <c r="Z67" s="10">
        <v>24.64</v>
      </c>
      <c r="AA67" s="10">
        <v>24.68</v>
      </c>
      <c r="AB67" s="95">
        <v>8475600</v>
      </c>
      <c r="AC67" s="10">
        <v>24.68</v>
      </c>
      <c r="AD67" s="2">
        <f>Y67-Z67</f>
        <v>0.16999999999999815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25" priority="11">
      <formula>F33&gt;0</formula>
    </cfRule>
    <cfRule type="expression" dxfId="924" priority="12">
      <formula>F33&lt;0</formula>
    </cfRule>
  </conditionalFormatting>
  <conditionalFormatting sqref="Q7">
    <cfRule type="expression" dxfId="923" priority="9">
      <formula>Q7&gt;0</formula>
    </cfRule>
    <cfRule type="expression" dxfId="922" priority="10">
      <formula>Q7&lt;0</formula>
    </cfRule>
  </conditionalFormatting>
  <conditionalFormatting sqref="Q8">
    <cfRule type="expression" dxfId="921" priority="7">
      <formula>Q8&gt;0</formula>
    </cfRule>
    <cfRule type="expression" dxfId="920" priority="8">
      <formula>Q8&lt;0</formula>
    </cfRule>
  </conditionalFormatting>
  <conditionalFormatting sqref="F25:F32">
    <cfRule type="expression" dxfId="919" priority="5">
      <formula>F25&gt;0</formula>
    </cfRule>
    <cfRule type="expression" dxfId="918" priority="6">
      <formula>F25&lt;0</formula>
    </cfRule>
  </conditionalFormatting>
  <conditionalFormatting sqref="H25:H32">
    <cfRule type="expression" dxfId="917" priority="3">
      <formula>H25&gt;0</formula>
    </cfRule>
    <cfRule type="expression" dxfId="916" priority="4">
      <formula>H25&lt;0</formula>
    </cfRule>
  </conditionalFormatting>
  <conditionalFormatting sqref="Q10">
    <cfRule type="expression" dxfId="915" priority="1">
      <formula>Q10&gt;0</formula>
    </cfRule>
    <cfRule type="expression" dxfId="91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402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20.13</v>
      </c>
      <c r="R4" s="505">
        <v>-6.4000000000000003E-3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12078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-34.569999999998799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-379.54999999999927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-3.0467467519696836E-2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214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462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455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22.143000000000001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2">O42*$Q$4</f>
        <v>21.941700000000001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2"/>
        <v>21.740400000000001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2"/>
        <v>21.539100000000001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2"/>
        <v>21.337800000000001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2"/>
        <v>21.136500000000002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20.935199999999998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2"/>
        <v>20.733899999999998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2"/>
        <v>20.532599999999999</v>
      </c>
      <c r="Q49" s="2"/>
      <c r="T49" s="93" t="s">
        <v>122</v>
      </c>
      <c r="U49" s="130" t="s">
        <v>353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2"/>
        <v>20.331299999999999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2"/>
        <v>20.13</v>
      </c>
      <c r="Q51" s="2"/>
      <c r="T51" s="93" t="s">
        <v>105</v>
      </c>
      <c r="U51" s="130" t="s">
        <v>396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2"/>
        <v>19.928699999999999</v>
      </c>
      <c r="Q52" s="2"/>
      <c r="T52" s="93" t="s">
        <v>106</v>
      </c>
      <c r="U52" s="130" t="s">
        <v>354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2"/>
        <v>19.727399999999999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2"/>
        <v>19.5261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304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2"/>
        <v>19.3248</v>
      </c>
      <c r="T55" s="93" t="s">
        <v>108</v>
      </c>
      <c r="U55" s="130" t="s">
        <v>397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2"/>
        <v>19.123499999999996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2"/>
        <v>18.922199999999997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2"/>
        <v>18.7209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2"/>
        <v>18.519600000000001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2"/>
        <v>18.318300000000001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2"/>
        <v>18.117000000000001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3">Y67-Z67</f>
        <v>0.30999999999999872</v>
      </c>
      <c r="AE67" s="138" t="e">
        <f t="shared" ref="AE67" si="24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3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3"/>
        <v>0</v>
      </c>
      <c r="AE69" s="138" t="e">
        <f t="shared" ref="AE69" si="25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199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6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156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27">C83*(E83-D83)</f>
        <v>-67.999999999999829</v>
      </c>
      <c r="G83" s="382">
        <f t="shared" ref="G83:G92" si="28">D83*C83</f>
        <v>2110.4</v>
      </c>
      <c r="H83" s="383">
        <f t="shared" ref="H83:H92" si="29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27"/>
        <v>-65.999999999999659</v>
      </c>
      <c r="G84" s="382">
        <f t="shared" si="28"/>
        <v>3129.6</v>
      </c>
      <c r="H84" s="383">
        <f t="shared" si="29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27"/>
        <v>-9.5999999999997954</v>
      </c>
      <c r="G85" s="382">
        <f t="shared" si="28"/>
        <v>3129.6</v>
      </c>
      <c r="H85" s="383">
        <f t="shared" si="29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27"/>
        <v>61.200000000000188</v>
      </c>
      <c r="G86" s="382">
        <f t="shared" si="28"/>
        <v>3129.6</v>
      </c>
      <c r="H86" s="383">
        <f t="shared" si="29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27"/>
        <v>-61.199999999999477</v>
      </c>
      <c r="G87" s="382">
        <f t="shared" si="28"/>
        <v>5103.2</v>
      </c>
      <c r="H87" s="383">
        <f t="shared" si="29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27"/>
        <v>-37.199999999999989</v>
      </c>
      <c r="G88" s="382">
        <f t="shared" si="28"/>
        <v>5103.2</v>
      </c>
      <c r="H88" s="383">
        <f t="shared" si="29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27"/>
        <v>146.80000000000035</v>
      </c>
      <c r="G89" s="382">
        <f t="shared" si="28"/>
        <v>5103.2</v>
      </c>
      <c r="H89" s="383">
        <f t="shared" si="29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27"/>
        <v>180.80000000000069</v>
      </c>
      <c r="G90" s="382">
        <f t="shared" si="28"/>
        <v>5103.2</v>
      </c>
      <c r="H90" s="383">
        <f t="shared" si="29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27"/>
        <v>214.24000000000021</v>
      </c>
      <c r="G91" s="382">
        <f t="shared" si="28"/>
        <v>2454.7599999999998</v>
      </c>
      <c r="H91" s="383">
        <f t="shared" si="29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27"/>
        <v>270.63199999999995</v>
      </c>
      <c r="G92" s="382">
        <f t="shared" si="28"/>
        <v>1908.568</v>
      </c>
      <c r="H92" s="383">
        <f t="shared" si="29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13" priority="23">
      <formula>F31&gt;0</formula>
    </cfRule>
    <cfRule type="expression" dxfId="912" priority="24">
      <formula>F31&lt;0</formula>
    </cfRule>
  </conditionalFormatting>
  <conditionalFormatting sqref="Q7">
    <cfRule type="expression" dxfId="911" priority="21">
      <formula>Q7&gt;0</formula>
    </cfRule>
    <cfRule type="expression" dxfId="910" priority="22">
      <formula>Q7&lt;0</formula>
    </cfRule>
  </conditionalFormatting>
  <conditionalFormatting sqref="Q8">
    <cfRule type="expression" dxfId="909" priority="19">
      <formula>Q8&gt;0</formula>
    </cfRule>
    <cfRule type="expression" dxfId="90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07" priority="11">
      <formula>M53&gt;0</formula>
    </cfRule>
    <cfRule type="expression" dxfId="906" priority="12">
      <formula>M53&lt;0</formula>
    </cfRule>
  </conditionalFormatting>
  <conditionalFormatting sqref="Q10">
    <cfRule type="expression" dxfId="905" priority="9">
      <formula>Q10&gt;0</formula>
    </cfRule>
    <cfRule type="expression" dxfId="904" priority="10">
      <formula>Q10&lt;0</formula>
    </cfRule>
  </conditionalFormatting>
  <conditionalFormatting sqref="F25:F30">
    <cfRule type="expression" dxfId="903" priority="7">
      <formula>F25&gt;0</formula>
    </cfRule>
    <cfRule type="expression" dxfId="902" priority="8">
      <formula>F25&lt;0</formula>
    </cfRule>
  </conditionalFormatting>
  <conditionalFormatting sqref="H25:H30">
    <cfRule type="expression" dxfId="901" priority="5">
      <formula>H25&gt;0</formula>
    </cfRule>
    <cfRule type="expression" dxfId="900" priority="6">
      <formula>H25&lt;0</formula>
    </cfRule>
  </conditionalFormatting>
  <conditionalFormatting sqref="F83:F94">
    <cfRule type="expression" dxfId="899" priority="3">
      <formula>F83&gt;0</formula>
    </cfRule>
    <cfRule type="expression" dxfId="898" priority="4">
      <formula>F83&lt;0</formula>
    </cfRule>
  </conditionalFormatting>
  <conditionalFormatting sqref="H83:H94">
    <cfRule type="expression" dxfId="897" priority="1">
      <formula>H83&gt;0</formula>
    </cfRule>
    <cfRule type="expression" dxfId="89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50.14</v>
      </c>
      <c r="Y2" s="10">
        <v>51.17</v>
      </c>
      <c r="Z2" s="10">
        <v>50.14</v>
      </c>
      <c r="AA2" s="10">
        <v>51.09</v>
      </c>
      <c r="AB2" s="95">
        <v>5149000</v>
      </c>
      <c r="AC2" s="10">
        <v>51.09</v>
      </c>
      <c r="AD2">
        <f>Y2-Z2</f>
        <v>1.0300000000000011</v>
      </c>
      <c r="AE2" s="138">
        <f>AC2/AC3-1</f>
        <v>2.0371479928100733E-2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51.09</v>
      </c>
      <c r="T3" s="1"/>
      <c r="W3" s="133">
        <v>42754</v>
      </c>
      <c r="X3" s="10">
        <v>50.45</v>
      </c>
      <c r="Y3" s="10">
        <v>50.75</v>
      </c>
      <c r="Z3" s="10">
        <v>49.85</v>
      </c>
      <c r="AA3" s="10">
        <v>50.07</v>
      </c>
      <c r="AB3" s="95">
        <v>4237900</v>
      </c>
      <c r="AC3" s="10">
        <v>50.07</v>
      </c>
      <c r="AD3">
        <f t="shared" ref="AD3:AD4" si="0">Y3-Z3</f>
        <v>0.89999999999999858</v>
      </c>
      <c r="AE3" s="138">
        <f t="shared" ref="AE3:AE4" si="1">AC3/AC4-1</f>
        <v>-6.1532354108774223E-3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51.09</v>
      </c>
      <c r="R4" s="505">
        <v>2.0400000000000001E-2</v>
      </c>
      <c r="T4" s="163"/>
      <c r="U4" s="1"/>
      <c r="W4" s="133">
        <v>42753</v>
      </c>
      <c r="X4" s="10">
        <v>50.07</v>
      </c>
      <c r="Y4" s="10">
        <v>50.66</v>
      </c>
      <c r="Z4" s="10">
        <v>49.7</v>
      </c>
      <c r="AA4" s="10">
        <v>50.38</v>
      </c>
      <c r="AB4" s="95">
        <v>5897000</v>
      </c>
      <c r="AC4" s="10">
        <v>50.38</v>
      </c>
      <c r="AD4">
        <f t="shared" si="0"/>
        <v>0.95999999999999375</v>
      </c>
      <c r="AE4" s="138">
        <f t="shared" si="1"/>
        <v>2.7866242038216971E-3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50.88</v>
      </c>
      <c r="Y5" s="10">
        <v>51.34</v>
      </c>
      <c r="Z5" s="10">
        <v>50.22</v>
      </c>
      <c r="AA5" s="10">
        <v>50.24</v>
      </c>
      <c r="AB5" s="95">
        <v>4214900</v>
      </c>
      <c r="AC5" s="10">
        <v>50.24</v>
      </c>
      <c r="AD5">
        <f t="shared" ref="AD5:AD67" si="2">Y5-Z5</f>
        <v>1.1200000000000045</v>
      </c>
      <c r="AE5" s="138">
        <f t="shared" ref="AE5:AE66" si="3">AC5/AC6-1</f>
        <v>-1.7790811339198354E-2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51</v>
      </c>
      <c r="Y6" s="10">
        <v>51.34</v>
      </c>
      <c r="Z6" s="10">
        <v>50.78</v>
      </c>
      <c r="AA6" s="10">
        <v>51.15</v>
      </c>
      <c r="AB6" s="95">
        <v>2611300</v>
      </c>
      <c r="AC6" s="10">
        <v>51.15</v>
      </c>
      <c r="AD6">
        <f t="shared" si="2"/>
        <v>0.56000000000000227</v>
      </c>
      <c r="AE6" s="138">
        <f t="shared" si="3"/>
        <v>2.7445598902176016E-3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42747</v>
      </c>
      <c r="X7" s="10">
        <v>51.68</v>
      </c>
      <c r="Y7" s="10">
        <v>51.95</v>
      </c>
      <c r="Z7" s="10">
        <v>50.26</v>
      </c>
      <c r="AA7" s="10">
        <v>51.01</v>
      </c>
      <c r="AB7" s="95">
        <v>6033600</v>
      </c>
      <c r="AC7" s="10">
        <v>51.01</v>
      </c>
      <c r="AD7">
        <f t="shared" si="2"/>
        <v>1.6900000000000048</v>
      </c>
      <c r="AE7" s="138">
        <f t="shared" si="3"/>
        <v>-1.2964396284829705E-2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51.77</v>
      </c>
      <c r="Y8" s="10">
        <v>52.2</v>
      </c>
      <c r="Z8" s="10">
        <v>51.47</v>
      </c>
      <c r="AA8" s="10">
        <v>51.68</v>
      </c>
      <c r="AB8" s="95">
        <v>5928700</v>
      </c>
      <c r="AC8" s="10">
        <v>51.68</v>
      </c>
      <c r="AD8">
        <f t="shared" si="2"/>
        <v>0.73000000000000398</v>
      </c>
      <c r="AE8" s="138">
        <f t="shared" si="3"/>
        <v>6.6225165562914245E-3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50.55</v>
      </c>
      <c r="Y9" s="10">
        <v>51.89</v>
      </c>
      <c r="Z9" s="10">
        <v>50.53</v>
      </c>
      <c r="AA9" s="10">
        <v>51.34</v>
      </c>
      <c r="AB9" s="95">
        <v>5522900</v>
      </c>
      <c r="AC9" s="10">
        <v>51.34</v>
      </c>
      <c r="AD9">
        <f t="shared" si="2"/>
        <v>1.3599999999999994</v>
      </c>
      <c r="AE9" s="138">
        <f t="shared" si="3"/>
        <v>2.067594433399611E-2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M55</f>
        <v>117.73999999999978</v>
      </c>
      <c r="W10" s="133">
        <v>42744</v>
      </c>
      <c r="X10" s="10">
        <v>50</v>
      </c>
      <c r="Y10" s="10">
        <v>50.93</v>
      </c>
      <c r="Z10" s="10">
        <v>49.8</v>
      </c>
      <c r="AA10" s="10">
        <v>50.3</v>
      </c>
      <c r="AB10" s="95">
        <v>4965600</v>
      </c>
      <c r="AC10" s="10">
        <v>50.3</v>
      </c>
      <c r="AD10">
        <f t="shared" si="2"/>
        <v>1.1300000000000026</v>
      </c>
      <c r="AE10" s="138">
        <f t="shared" si="3"/>
        <v>7.410374524333907E-3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7.7999999999999996E-3</v>
      </c>
      <c r="W11" s="133">
        <v>42741</v>
      </c>
      <c r="X11" s="10">
        <v>50.49</v>
      </c>
      <c r="Y11" s="10">
        <v>50.65</v>
      </c>
      <c r="Z11" s="10">
        <v>49.45</v>
      </c>
      <c r="AA11" s="10">
        <v>49.93</v>
      </c>
      <c r="AB11" s="95">
        <v>5650200</v>
      </c>
      <c r="AC11" s="10">
        <v>49.93</v>
      </c>
      <c r="AD11">
        <f t="shared" si="2"/>
        <v>1.1999999999999957</v>
      </c>
      <c r="AE11" s="138">
        <f t="shared" si="3"/>
        <v>-1.069942540122848E-2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42740</v>
      </c>
      <c r="X12" s="10">
        <v>51.44</v>
      </c>
      <c r="Y12" s="10">
        <v>52.12</v>
      </c>
      <c r="Z12" s="10">
        <v>50.12</v>
      </c>
      <c r="AA12" s="10">
        <v>50.47</v>
      </c>
      <c r="AB12" s="95">
        <v>6435100</v>
      </c>
      <c r="AC12" s="10">
        <v>50.47</v>
      </c>
      <c r="AD12">
        <f t="shared" si="2"/>
        <v>2</v>
      </c>
      <c r="AE12" s="138">
        <f t="shared" si="3"/>
        <v>-1.6179337231968738E-2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42739</v>
      </c>
      <c r="X13" s="10">
        <v>50.25</v>
      </c>
      <c r="Y13" s="10">
        <v>51.42</v>
      </c>
      <c r="Z13" s="10">
        <v>50.15</v>
      </c>
      <c r="AA13" s="10">
        <v>51.3</v>
      </c>
      <c r="AB13" s="95">
        <v>4860900</v>
      </c>
      <c r="AC13" s="10">
        <v>51.3</v>
      </c>
      <c r="AD13">
        <f t="shared" si="2"/>
        <v>1.2700000000000031</v>
      </c>
      <c r="AE13" s="138">
        <f t="shared" si="3"/>
        <v>2.6410564225690214E-2</v>
      </c>
    </row>
    <row r="14" spans="1:31" x14ac:dyDescent="0.25">
      <c r="H14" s="72"/>
      <c r="W14" s="133">
        <v>42738</v>
      </c>
      <c r="X14" s="10">
        <v>50.4</v>
      </c>
      <c r="Y14" s="10">
        <v>51.16</v>
      </c>
      <c r="Z14" s="10">
        <v>49.81</v>
      </c>
      <c r="AA14" s="10">
        <v>49.98</v>
      </c>
      <c r="AB14" s="95">
        <v>4207500</v>
      </c>
      <c r="AC14" s="10">
        <v>49.98</v>
      </c>
      <c r="AD14">
        <f t="shared" si="2"/>
        <v>1.3499999999999943</v>
      </c>
      <c r="AE14" s="138">
        <f t="shared" si="3"/>
        <v>2.8089887640447841E-3</v>
      </c>
    </row>
    <row r="15" spans="1:31" x14ac:dyDescent="0.25">
      <c r="H15" s="72"/>
      <c r="W15" s="133">
        <v>42734</v>
      </c>
      <c r="X15" s="10">
        <v>50.19</v>
      </c>
      <c r="Y15" s="10">
        <v>50.37</v>
      </c>
      <c r="Z15" s="10">
        <v>49.53</v>
      </c>
      <c r="AA15" s="10">
        <v>49.84</v>
      </c>
      <c r="AB15" s="95">
        <v>3257200</v>
      </c>
      <c r="AC15" s="10">
        <v>49.84</v>
      </c>
      <c r="AD15">
        <f t="shared" si="2"/>
        <v>0.83999999999999631</v>
      </c>
      <c r="AE15" s="138">
        <f t="shared" si="3"/>
        <v>-7.171314741035828E-3</v>
      </c>
    </row>
    <row r="16" spans="1:31" x14ac:dyDescent="0.25">
      <c r="H16" s="72"/>
      <c r="W16" s="133">
        <v>42733</v>
      </c>
      <c r="X16" s="10">
        <v>50.19</v>
      </c>
      <c r="Y16" s="10">
        <v>50.62</v>
      </c>
      <c r="Z16" s="10">
        <v>49.96</v>
      </c>
      <c r="AA16" s="10">
        <v>50.2</v>
      </c>
      <c r="AB16" s="95">
        <v>2160500</v>
      </c>
      <c r="AC16" s="10">
        <v>50.2</v>
      </c>
      <c r="AD16">
        <f t="shared" si="2"/>
        <v>0.65999999999999659</v>
      </c>
      <c r="AE16" s="138">
        <f t="shared" si="3"/>
        <v>5.9796691249758283E-4</v>
      </c>
    </row>
    <row r="17" spans="1:31" x14ac:dyDescent="0.25">
      <c r="W17" s="133">
        <v>42732</v>
      </c>
      <c r="X17" s="10">
        <v>50.53</v>
      </c>
      <c r="Y17" s="10">
        <v>50.96</v>
      </c>
      <c r="Z17" s="10">
        <v>50.07</v>
      </c>
      <c r="AA17" s="10">
        <v>50.17</v>
      </c>
      <c r="AB17" s="95">
        <v>3161500</v>
      </c>
      <c r="AC17" s="10">
        <v>50.17</v>
      </c>
      <c r="AD17">
        <f t="shared" si="2"/>
        <v>0.89000000000000057</v>
      </c>
      <c r="AE17" s="138">
        <f t="shared" si="3"/>
        <v>-6.3378886908298515E-3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50.46</v>
      </c>
      <c r="Y18" s="10">
        <v>50.78</v>
      </c>
      <c r="Z18" s="10">
        <v>50.26</v>
      </c>
      <c r="AA18" s="10">
        <v>50.49</v>
      </c>
      <c r="AB18" s="95">
        <v>1874200</v>
      </c>
      <c r="AC18" s="10">
        <v>50.49</v>
      </c>
      <c r="AD18">
        <f t="shared" si="2"/>
        <v>0.52000000000000313</v>
      </c>
      <c r="AE18" s="138">
        <f t="shared" si="3"/>
        <v>7.9286422200186557E-4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42727</v>
      </c>
      <c r="X19" s="10">
        <v>50.36</v>
      </c>
      <c r="Y19" s="10">
        <v>50.72</v>
      </c>
      <c r="Z19" s="10">
        <v>50.19</v>
      </c>
      <c r="AA19" s="10">
        <v>50.45</v>
      </c>
      <c r="AB19" s="95">
        <v>1616700</v>
      </c>
      <c r="AC19" s="10">
        <v>50.45</v>
      </c>
      <c r="AD19">
        <f t="shared" si="2"/>
        <v>0.53000000000000114</v>
      </c>
      <c r="AE19" s="138">
        <f t="shared" si="3"/>
        <v>3.9800995024876773E-3</v>
      </c>
    </row>
    <row r="20" spans="1:31" x14ac:dyDescent="0.25">
      <c r="W20" s="133">
        <v>42726</v>
      </c>
      <c r="X20" s="10">
        <v>50.72</v>
      </c>
      <c r="Y20" s="10">
        <v>51.03</v>
      </c>
      <c r="Z20" s="10">
        <v>50.08</v>
      </c>
      <c r="AA20" s="10">
        <v>50.25</v>
      </c>
      <c r="AB20" s="95">
        <v>2486200</v>
      </c>
      <c r="AC20" s="10">
        <v>50.25</v>
      </c>
      <c r="AD20">
        <f t="shared" si="2"/>
        <v>0.95000000000000284</v>
      </c>
      <c r="AE20" s="138">
        <f t="shared" si="3"/>
        <v>-7.8973346495557761E-3</v>
      </c>
    </row>
    <row r="21" spans="1:31" x14ac:dyDescent="0.25">
      <c r="W21" s="133">
        <v>42725</v>
      </c>
      <c r="X21" s="10">
        <v>50.77</v>
      </c>
      <c r="Y21" s="10">
        <v>51.08</v>
      </c>
      <c r="Z21" s="10">
        <v>50.52</v>
      </c>
      <c r="AA21" s="10">
        <v>50.65</v>
      </c>
      <c r="AB21" s="95">
        <v>3954100</v>
      </c>
      <c r="AC21" s="10">
        <v>50.65</v>
      </c>
      <c r="AD21">
        <f t="shared" si="2"/>
        <v>0.55999999999999517</v>
      </c>
      <c r="AE21" s="138">
        <f t="shared" si="3"/>
        <v>-4.7160542346237344E-3</v>
      </c>
    </row>
    <row r="22" spans="1:31" x14ac:dyDescent="0.25">
      <c r="W22" s="133">
        <v>42724</v>
      </c>
      <c r="X22" s="10">
        <v>50.55</v>
      </c>
      <c r="Y22" s="10">
        <v>51.19</v>
      </c>
      <c r="Z22" s="10">
        <v>50.41</v>
      </c>
      <c r="AA22" s="10">
        <v>50.89</v>
      </c>
      <c r="AB22" s="95">
        <v>3698500</v>
      </c>
      <c r="AC22" s="10">
        <v>50.89</v>
      </c>
      <c r="AD22">
        <f t="shared" si="2"/>
        <v>0.78000000000000114</v>
      </c>
      <c r="AE22" s="138">
        <f t="shared" si="3"/>
        <v>1.0724925521350626E-2</v>
      </c>
    </row>
    <row r="23" spans="1:31" x14ac:dyDescent="0.25">
      <c r="W23" s="133">
        <v>42723</v>
      </c>
      <c r="X23" s="10">
        <v>50.26</v>
      </c>
      <c r="Y23" s="10">
        <v>50.53</v>
      </c>
      <c r="Z23" s="10">
        <v>49.72</v>
      </c>
      <c r="AA23" s="10">
        <v>50.35</v>
      </c>
      <c r="AB23" s="95">
        <v>3191700</v>
      </c>
      <c r="AC23" s="10">
        <v>50.35</v>
      </c>
      <c r="AD23">
        <f t="shared" si="2"/>
        <v>0.81000000000000227</v>
      </c>
      <c r="AE23" s="138">
        <f t="shared" si="3"/>
        <v>8.4117764870819123E-3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50.74</v>
      </c>
      <c r="Y24" s="10">
        <v>51.13</v>
      </c>
      <c r="Z24" s="10">
        <v>49.89</v>
      </c>
      <c r="AA24" s="10">
        <v>49.93</v>
      </c>
      <c r="AB24" s="95">
        <v>7358700</v>
      </c>
      <c r="AC24" s="10">
        <v>49.93</v>
      </c>
      <c r="AD24">
        <f t="shared" si="2"/>
        <v>1.240000000000002</v>
      </c>
      <c r="AE24" s="138">
        <f t="shared" si="3"/>
        <v>-1.3046056532911687E-2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42719</v>
      </c>
      <c r="X25" s="10">
        <v>49.43</v>
      </c>
      <c r="Y25" s="10">
        <v>51.31</v>
      </c>
      <c r="Z25" s="10">
        <v>49.4</v>
      </c>
      <c r="AA25" s="10">
        <v>50.59</v>
      </c>
      <c r="AB25" s="95">
        <v>8906800</v>
      </c>
      <c r="AC25" s="10">
        <v>50.59</v>
      </c>
      <c r="AD25">
        <f t="shared" si="2"/>
        <v>1.9100000000000037</v>
      </c>
      <c r="AE25" s="138">
        <f t="shared" si="3"/>
        <v>2.6582792207792361E-2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42718</v>
      </c>
      <c r="X26" s="10">
        <v>49.5</v>
      </c>
      <c r="Y26" s="10">
        <v>50</v>
      </c>
      <c r="Z26" s="10">
        <v>48.9</v>
      </c>
      <c r="AA26" s="10">
        <v>49.28</v>
      </c>
      <c r="AB26" s="95">
        <v>5822600</v>
      </c>
      <c r="AC26" s="10">
        <v>49.28</v>
      </c>
      <c r="AD26">
        <f t="shared" si="2"/>
        <v>1.1000000000000014</v>
      </c>
      <c r="AE26" s="138">
        <f t="shared" si="3"/>
        <v>-5.4490413723510267E-3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42717</v>
      </c>
      <c r="X27" s="10">
        <v>49.47</v>
      </c>
      <c r="Y27" s="10">
        <v>50.43</v>
      </c>
      <c r="Z27" s="10">
        <v>49.45</v>
      </c>
      <c r="AA27" s="10">
        <v>49.55</v>
      </c>
      <c r="AB27" s="95">
        <v>6552400</v>
      </c>
      <c r="AC27" s="10">
        <v>49.55</v>
      </c>
      <c r="AD27">
        <f t="shared" si="2"/>
        <v>0.97999999999999687</v>
      </c>
      <c r="AE27" s="138">
        <f t="shared" si="3"/>
        <v>3.6459388292484629E-3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42716</v>
      </c>
      <c r="X28" s="10">
        <v>49.36</v>
      </c>
      <c r="Y28" s="10">
        <v>49.69</v>
      </c>
      <c r="Z28" s="10">
        <v>48.92</v>
      </c>
      <c r="AA28" s="10">
        <v>49.37</v>
      </c>
      <c r="AB28" s="95">
        <v>8756200</v>
      </c>
      <c r="AC28" s="10">
        <v>49.37</v>
      </c>
      <c r="AD28">
        <f t="shared" si="2"/>
        <v>0.76999999999999602</v>
      </c>
      <c r="AE28" s="138">
        <f t="shared" si="3"/>
        <v>-8.4354288009640399E-3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42713</v>
      </c>
      <c r="X29" s="10">
        <v>49.89</v>
      </c>
      <c r="Y29" s="10">
        <v>50.68</v>
      </c>
      <c r="Z29" s="10">
        <v>49.22</v>
      </c>
      <c r="AA29" s="10">
        <v>49.79</v>
      </c>
      <c r="AB29" s="95">
        <v>6676600</v>
      </c>
      <c r="AC29" s="10">
        <v>49.79</v>
      </c>
      <c r="AD29">
        <f t="shared" si="2"/>
        <v>1.4600000000000009</v>
      </c>
      <c r="AE29" s="138">
        <f t="shared" si="3"/>
        <v>3.8306451612901693E-3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42712</v>
      </c>
      <c r="X30" s="10">
        <v>49.98</v>
      </c>
      <c r="Y30" s="10">
        <v>49.98</v>
      </c>
      <c r="Z30" s="10">
        <v>49.24</v>
      </c>
      <c r="AA30" s="10">
        <v>49.6</v>
      </c>
      <c r="AB30" s="95">
        <v>6641500</v>
      </c>
      <c r="AC30" s="10">
        <v>49.6</v>
      </c>
      <c r="AD30">
        <f t="shared" si="2"/>
        <v>0.73999999999999488</v>
      </c>
      <c r="AE30" s="138">
        <f t="shared" si="3"/>
        <v>-5.015045135406182E-3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42711</v>
      </c>
      <c r="X31" s="10">
        <v>47.71</v>
      </c>
      <c r="Y31" s="10">
        <v>49.88</v>
      </c>
      <c r="Z31" s="10">
        <v>47.4</v>
      </c>
      <c r="AA31" s="10">
        <v>49.85</v>
      </c>
      <c r="AB31" s="95">
        <v>7534300</v>
      </c>
      <c r="AC31" s="10">
        <v>49.85</v>
      </c>
      <c r="AD31">
        <f t="shared" si="2"/>
        <v>2.480000000000004</v>
      </c>
      <c r="AE31" s="138">
        <f t="shared" si="3"/>
        <v>4.5511744966443057E-2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42710</v>
      </c>
      <c r="X32" s="10">
        <v>47.39</v>
      </c>
      <c r="Y32" s="10">
        <v>47.9</v>
      </c>
      <c r="Z32" s="10">
        <v>47.16</v>
      </c>
      <c r="AA32" s="10">
        <v>47.68</v>
      </c>
      <c r="AB32" s="95">
        <v>4548300</v>
      </c>
      <c r="AC32" s="10">
        <v>47.68</v>
      </c>
      <c r="AD32">
        <f t="shared" si="2"/>
        <v>0.74000000000000199</v>
      </c>
      <c r="AE32" s="138" t="e">
        <f t="shared" si="3"/>
        <v>#DIV/0!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42710</v>
      </c>
      <c r="X33" s="10" t="s">
        <v>360</v>
      </c>
      <c r="Y33" s="10"/>
      <c r="Z33" s="10"/>
      <c r="AA33" s="10"/>
      <c r="AB33" s="95"/>
      <c r="AC33" s="10"/>
      <c r="AD33">
        <f t="shared" si="2"/>
        <v>0</v>
      </c>
      <c r="AE33" s="138">
        <f t="shared" si="3"/>
        <v>-1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42709</v>
      </c>
      <c r="X34" s="10">
        <v>48.08</v>
      </c>
      <c r="Y34" s="10">
        <v>48.46</v>
      </c>
      <c r="Z34" s="10">
        <v>47.04</v>
      </c>
      <c r="AA34" s="10">
        <v>47.07</v>
      </c>
      <c r="AB34" s="95">
        <v>4734200</v>
      </c>
      <c r="AC34" s="10">
        <v>46.97</v>
      </c>
      <c r="AD34">
        <f t="shared" si="2"/>
        <v>1.4200000000000017</v>
      </c>
      <c r="AE34" s="138">
        <f t="shared" si="3"/>
        <v>-1.7569546120058677E-2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42706</v>
      </c>
      <c r="X35" s="10">
        <v>47.37</v>
      </c>
      <c r="Y35" s="10">
        <v>48.24</v>
      </c>
      <c r="Z35" s="10">
        <v>47.3</v>
      </c>
      <c r="AA35" s="10">
        <v>47.91</v>
      </c>
      <c r="AB35" s="95">
        <v>4843600</v>
      </c>
      <c r="AC35" s="10">
        <v>47.81</v>
      </c>
      <c r="AD35">
        <f t="shared" si="2"/>
        <v>0.94000000000000483</v>
      </c>
      <c r="AE35" s="138">
        <f t="shared" si="3"/>
        <v>1.7883755588673722E-2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42705</v>
      </c>
      <c r="X36" s="10">
        <v>46.36</v>
      </c>
      <c r="Y36" s="10">
        <v>47.44</v>
      </c>
      <c r="Z36" s="10">
        <v>46.19</v>
      </c>
      <c r="AA36" s="10">
        <v>47.07</v>
      </c>
      <c r="AB36" s="95">
        <v>5594800</v>
      </c>
      <c r="AC36" s="10">
        <v>46.97</v>
      </c>
      <c r="AD36">
        <f t="shared" si="2"/>
        <v>1.25</v>
      </c>
      <c r="AE36" s="138">
        <f t="shared" si="3"/>
        <v>9.890346162115593E-3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42704</v>
      </c>
      <c r="X37" s="10">
        <v>46.1</v>
      </c>
      <c r="Y37" s="10">
        <v>47.33</v>
      </c>
      <c r="Z37" s="10">
        <v>44.7</v>
      </c>
      <c r="AA37" s="10">
        <v>46.61</v>
      </c>
      <c r="AB37" s="95">
        <v>6640900</v>
      </c>
      <c r="AC37" s="10">
        <v>46.51</v>
      </c>
      <c r="AD37">
        <f t="shared" si="2"/>
        <v>2.6299999999999955</v>
      </c>
      <c r="AE37" s="138">
        <f t="shared" si="3"/>
        <v>-1.3364446330080715E-2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42703</v>
      </c>
      <c r="X38" s="10">
        <v>47.56</v>
      </c>
      <c r="Y38" s="10">
        <v>47.83</v>
      </c>
      <c r="Z38" s="10">
        <v>47.21</v>
      </c>
      <c r="AA38" s="10">
        <v>47.24</v>
      </c>
      <c r="AB38" s="95">
        <v>4453400</v>
      </c>
      <c r="AC38" s="10">
        <v>47.14</v>
      </c>
      <c r="AD38">
        <f t="shared" si="2"/>
        <v>0.61999999999999744</v>
      </c>
      <c r="AE38" s="138">
        <f t="shared" si="3"/>
        <v>-5.9046815689582921E-3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42702</v>
      </c>
      <c r="X39" s="10">
        <v>47.41</v>
      </c>
      <c r="Y39" s="10">
        <v>47.77</v>
      </c>
      <c r="Z39" s="10">
        <v>47.15</v>
      </c>
      <c r="AA39" s="10">
        <v>47.52</v>
      </c>
      <c r="AB39" s="95">
        <v>4230900</v>
      </c>
      <c r="AC39" s="10">
        <v>47.42</v>
      </c>
      <c r="AD39">
        <f t="shared" si="2"/>
        <v>0.62000000000000455</v>
      </c>
      <c r="AE39" s="138">
        <f t="shared" si="3"/>
        <v>1.4783526927137913E-3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2" t="s">
        <v>78</v>
      </c>
      <c r="P40" s="632"/>
      <c r="W40" s="133">
        <v>42699</v>
      </c>
      <c r="X40" s="10">
        <v>47.31</v>
      </c>
      <c r="Y40" s="10">
        <v>47.91</v>
      </c>
      <c r="Z40" s="10">
        <v>47.23</v>
      </c>
      <c r="AA40" s="10">
        <v>47.45</v>
      </c>
      <c r="AB40" s="95">
        <v>2499100</v>
      </c>
      <c r="AC40" s="10">
        <v>47.35</v>
      </c>
      <c r="AD40">
        <f t="shared" si="2"/>
        <v>0.67999999999999972</v>
      </c>
      <c r="AE40" s="138">
        <f t="shared" si="3"/>
        <v>1.6924053310767295E-3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56.199000000000005</v>
      </c>
      <c r="Q41" s="2"/>
      <c r="W41" s="133">
        <v>42697</v>
      </c>
      <c r="X41" s="10">
        <v>46.99</v>
      </c>
      <c r="Y41" s="10">
        <v>47.46</v>
      </c>
      <c r="Z41" s="10">
        <v>46.13</v>
      </c>
      <c r="AA41" s="10">
        <v>47.37</v>
      </c>
      <c r="AB41" s="95">
        <v>5316200</v>
      </c>
      <c r="AC41" s="10">
        <v>47.27</v>
      </c>
      <c r="AD41">
        <f t="shared" si="2"/>
        <v>1.3299999999999983</v>
      </c>
      <c r="AE41" s="138">
        <f t="shared" si="3"/>
        <v>5.7446808510639435E-3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55.688100000000006</v>
      </c>
      <c r="Q42" s="2"/>
      <c r="T42" s="91" t="s">
        <v>113</v>
      </c>
      <c r="W42" s="133">
        <v>42696</v>
      </c>
      <c r="X42" s="10">
        <v>47.69</v>
      </c>
      <c r="Y42" s="10">
        <v>47.99</v>
      </c>
      <c r="Z42" s="10">
        <v>46.75</v>
      </c>
      <c r="AA42" s="10">
        <v>47.1</v>
      </c>
      <c r="AB42" s="95">
        <v>7401300</v>
      </c>
      <c r="AC42" s="10">
        <v>47</v>
      </c>
      <c r="AD42">
        <f t="shared" si="2"/>
        <v>1.240000000000002</v>
      </c>
      <c r="AE42" s="138">
        <f t="shared" si="3"/>
        <v>-5.5014811680067499E-3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55.177200000000006</v>
      </c>
      <c r="Q43" s="2"/>
      <c r="T43" s="128" t="s">
        <v>98</v>
      </c>
      <c r="U43" s="129">
        <v>50.07</v>
      </c>
      <c r="W43" s="133">
        <v>42695</v>
      </c>
      <c r="X43" s="10">
        <v>47.08</v>
      </c>
      <c r="Y43" s="10">
        <v>47.68</v>
      </c>
      <c r="Z43" s="10">
        <v>46.98</v>
      </c>
      <c r="AA43" s="10">
        <v>47.36</v>
      </c>
      <c r="AB43" s="95">
        <v>6760700</v>
      </c>
      <c r="AC43" s="10">
        <v>47.26</v>
      </c>
      <c r="AD43">
        <f t="shared" si="2"/>
        <v>0.70000000000000284</v>
      </c>
      <c r="AE43" s="138">
        <f t="shared" si="3"/>
        <v>6.3884156729130392E-3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54.666300000000007</v>
      </c>
      <c r="Q44" s="2"/>
      <c r="T44" s="93" t="s">
        <v>99</v>
      </c>
      <c r="U44" s="130">
        <v>50.14</v>
      </c>
      <c r="W44" s="133">
        <v>42692</v>
      </c>
      <c r="X44" s="10">
        <v>46.91</v>
      </c>
      <c r="Y44" s="10">
        <v>47.25</v>
      </c>
      <c r="Z44" s="10">
        <v>46.68</v>
      </c>
      <c r="AA44" s="10">
        <v>47.06</v>
      </c>
      <c r="AB44" s="95">
        <v>6783000</v>
      </c>
      <c r="AC44" s="10">
        <v>46.96</v>
      </c>
      <c r="AD44">
        <f t="shared" si="2"/>
        <v>0.57000000000000028</v>
      </c>
      <c r="AE44" s="138">
        <f t="shared" si="3"/>
        <v>7.9416183730414147E-3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54.155400000000007</v>
      </c>
      <c r="Q45" s="2"/>
      <c r="T45" s="93" t="s">
        <v>100</v>
      </c>
      <c r="U45" s="130" t="s">
        <v>129</v>
      </c>
      <c r="W45" s="133">
        <v>42691</v>
      </c>
      <c r="X45" s="10">
        <v>45.69</v>
      </c>
      <c r="Y45" s="10">
        <v>46.74</v>
      </c>
      <c r="Z45" s="10">
        <v>45.35</v>
      </c>
      <c r="AA45" s="10">
        <v>46.69</v>
      </c>
      <c r="AB45" s="95">
        <v>5915500</v>
      </c>
      <c r="AC45" s="10">
        <v>46.59</v>
      </c>
      <c r="AD45">
        <f t="shared" si="2"/>
        <v>1.3900000000000006</v>
      </c>
      <c r="AE45" s="138">
        <f t="shared" si="3"/>
        <v>1.8360655737704956E-2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53.644500000000008</v>
      </c>
      <c r="Q46" s="2"/>
      <c r="T46" s="93" t="s">
        <v>101</v>
      </c>
      <c r="U46" s="130" t="s">
        <v>129</v>
      </c>
      <c r="W46" s="133">
        <v>42690</v>
      </c>
      <c r="X46" s="10">
        <v>46.04</v>
      </c>
      <c r="Y46" s="10">
        <v>46.34</v>
      </c>
      <c r="Z46" s="10">
        <v>45.45</v>
      </c>
      <c r="AA46" s="10">
        <v>45.85</v>
      </c>
      <c r="AB46" s="95">
        <v>6502600</v>
      </c>
      <c r="AC46" s="10">
        <v>45.75</v>
      </c>
      <c r="AD46">
        <f t="shared" si="2"/>
        <v>0.89000000000000057</v>
      </c>
      <c r="AE46" s="138">
        <f t="shared" si="3"/>
        <v>-8.6673889490790357E-3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53.133600000000008</v>
      </c>
      <c r="Q47" s="2"/>
      <c r="T47" s="93" t="s">
        <v>102</v>
      </c>
      <c r="U47" s="130">
        <v>59.1</v>
      </c>
      <c r="W47" s="133">
        <v>42689</v>
      </c>
      <c r="X47" s="10">
        <v>46.55</v>
      </c>
      <c r="Y47" s="10">
        <v>47.3</v>
      </c>
      <c r="Z47" s="10">
        <v>45.68</v>
      </c>
      <c r="AA47" s="10">
        <v>46.25</v>
      </c>
      <c r="AB47" s="95">
        <v>9921400</v>
      </c>
      <c r="AC47" s="10">
        <v>46.15</v>
      </c>
      <c r="AD47">
        <f t="shared" si="2"/>
        <v>1.6199999999999974</v>
      </c>
      <c r="AE47" s="138">
        <f t="shared" si="3"/>
        <v>1.9889502762430844E-2</v>
      </c>
    </row>
    <row r="48" spans="2:31" x14ac:dyDescent="0.25">
      <c r="O48" s="83">
        <v>1.03</v>
      </c>
      <c r="P48" s="83">
        <f t="shared" si="49"/>
        <v>52.622700000000002</v>
      </c>
      <c r="Q48" s="2"/>
      <c r="T48" s="93" t="s">
        <v>103</v>
      </c>
      <c r="U48" s="130">
        <v>0.99245300000000003</v>
      </c>
      <c r="W48" s="133">
        <v>42688</v>
      </c>
      <c r="X48" s="10">
        <v>43.9</v>
      </c>
      <c r="Y48" s="10">
        <v>45.45</v>
      </c>
      <c r="Z48" s="10">
        <v>43.88</v>
      </c>
      <c r="AA48" s="10">
        <v>45.35</v>
      </c>
      <c r="AB48" s="95">
        <v>11144700</v>
      </c>
      <c r="AC48" s="10">
        <v>45.25</v>
      </c>
      <c r="AD48">
        <f t="shared" si="2"/>
        <v>1.5700000000000003</v>
      </c>
      <c r="AE48" s="138">
        <f t="shared" si="3"/>
        <v>3.4285714285714253E-2</v>
      </c>
    </row>
    <row r="49" spans="1:31" x14ac:dyDescent="0.25">
      <c r="O49" s="83">
        <v>1.02</v>
      </c>
      <c r="P49" s="83">
        <f t="shared" si="49"/>
        <v>52.111800000000002</v>
      </c>
      <c r="Q49" s="2"/>
      <c r="T49" s="93" t="s">
        <v>104</v>
      </c>
      <c r="U49" s="130" t="s">
        <v>325</v>
      </c>
      <c r="W49" s="133">
        <v>42685</v>
      </c>
      <c r="X49" s="10">
        <v>43.5</v>
      </c>
      <c r="Y49" s="10">
        <v>43.85</v>
      </c>
      <c r="Z49" s="10">
        <v>42.99</v>
      </c>
      <c r="AA49" s="10">
        <v>43.84</v>
      </c>
      <c r="AB49" s="95">
        <v>7906600</v>
      </c>
      <c r="AC49" s="10">
        <v>43.75</v>
      </c>
      <c r="AD49">
        <f t="shared" si="2"/>
        <v>0.85999999999999943</v>
      </c>
      <c r="AE49" s="138">
        <f t="shared" si="3"/>
        <v>4.5924225028703969E-3</v>
      </c>
    </row>
    <row r="50" spans="1:31" x14ac:dyDescent="0.25">
      <c r="O50" s="83">
        <v>1.01</v>
      </c>
      <c r="P50" s="83">
        <f t="shared" si="49"/>
        <v>51.600900000000003</v>
      </c>
      <c r="Q50" s="2"/>
      <c r="T50" s="93"/>
      <c r="U50" s="130"/>
      <c r="W50" s="133">
        <v>42684</v>
      </c>
      <c r="X50" s="10">
        <v>42.64</v>
      </c>
      <c r="Y50" s="10">
        <v>43.85</v>
      </c>
      <c r="Z50" s="10">
        <v>42.58</v>
      </c>
      <c r="AA50" s="10">
        <v>43.64</v>
      </c>
      <c r="AB50" s="95">
        <v>10325700</v>
      </c>
      <c r="AC50" s="10">
        <v>43.55</v>
      </c>
      <c r="AD50">
        <f t="shared" si="2"/>
        <v>1.2700000000000031</v>
      </c>
      <c r="AE50" s="138">
        <f t="shared" si="3"/>
        <v>3.0037842951750049E-2</v>
      </c>
    </row>
    <row r="51" spans="1:31" x14ac:dyDescent="0.25">
      <c r="O51" s="83">
        <v>1</v>
      </c>
      <c r="P51" s="83">
        <f t="shared" si="49"/>
        <v>51.09</v>
      </c>
      <c r="Q51" s="2"/>
      <c r="T51" s="93" t="s">
        <v>105</v>
      </c>
      <c r="U51" s="130" t="s">
        <v>489</v>
      </c>
      <c r="W51" s="133">
        <v>42683</v>
      </c>
      <c r="X51" s="10">
        <v>40.799999999999997</v>
      </c>
      <c r="Y51" s="10">
        <v>42.46</v>
      </c>
      <c r="Z51" s="10">
        <v>40.75</v>
      </c>
      <c r="AA51" s="10">
        <v>42.37</v>
      </c>
      <c r="AB51" s="95">
        <v>8472600</v>
      </c>
      <c r="AC51" s="10">
        <v>42.28</v>
      </c>
      <c r="AD51">
        <f t="shared" si="2"/>
        <v>1.7100000000000009</v>
      </c>
      <c r="AE51" s="138">
        <f t="shared" si="3"/>
        <v>1.0516252390057268E-2</v>
      </c>
    </row>
    <row r="52" spans="1:31" x14ac:dyDescent="0.25">
      <c r="O52" s="83">
        <v>0.99</v>
      </c>
      <c r="P52" s="83">
        <f t="shared" si="49"/>
        <v>50.579100000000004</v>
      </c>
      <c r="Q52" s="2"/>
      <c r="T52" s="93" t="s">
        <v>106</v>
      </c>
      <c r="U52" s="130" t="s">
        <v>426</v>
      </c>
      <c r="W52" s="133">
        <v>42682</v>
      </c>
      <c r="X52" s="10">
        <v>41.57</v>
      </c>
      <c r="Y52" s="10">
        <v>42</v>
      </c>
      <c r="Z52" s="10">
        <v>41.22</v>
      </c>
      <c r="AA52" s="10">
        <v>41.93</v>
      </c>
      <c r="AB52" s="95">
        <v>8784000</v>
      </c>
      <c r="AC52" s="10">
        <v>41.84</v>
      </c>
      <c r="AD52">
        <f t="shared" si="2"/>
        <v>0.78000000000000114</v>
      </c>
      <c r="AE52" s="138">
        <f t="shared" si="3"/>
        <v>8.6788813886211624E-3</v>
      </c>
    </row>
    <row r="53" spans="1:31" x14ac:dyDescent="0.25">
      <c r="O53" s="83">
        <v>0.98</v>
      </c>
      <c r="P53" s="83">
        <f t="shared" si="49"/>
        <v>50.068200000000004</v>
      </c>
      <c r="Q53" s="2"/>
      <c r="T53" s="93" t="s">
        <v>107</v>
      </c>
      <c r="U53" s="131">
        <v>5196548</v>
      </c>
      <c r="W53" s="133">
        <v>42681</v>
      </c>
      <c r="X53" s="10">
        <v>41</v>
      </c>
      <c r="Y53" s="10">
        <v>41.57</v>
      </c>
      <c r="Z53" s="10">
        <v>40.71</v>
      </c>
      <c r="AA53" s="10">
        <v>41.57</v>
      </c>
      <c r="AB53" s="95">
        <v>7740800</v>
      </c>
      <c r="AC53" s="10">
        <v>41.48</v>
      </c>
      <c r="AD53">
        <f t="shared" si="2"/>
        <v>0.85999999999999943</v>
      </c>
      <c r="AE53" s="138">
        <f t="shared" si="3"/>
        <v>2.9535864978902815E-2</v>
      </c>
    </row>
    <row r="54" spans="1:31" x14ac:dyDescent="0.25">
      <c r="O54" s="83">
        <v>0.97</v>
      </c>
      <c r="P54" s="83">
        <f t="shared" si="49"/>
        <v>49.557300000000005</v>
      </c>
      <c r="T54" s="93" t="s">
        <v>110</v>
      </c>
      <c r="U54" s="131">
        <v>6861130</v>
      </c>
      <c r="W54" s="133">
        <v>42678</v>
      </c>
      <c r="X54" s="10">
        <v>39.69</v>
      </c>
      <c r="Y54" s="10">
        <v>40.93</v>
      </c>
      <c r="Z54" s="10">
        <v>39.56</v>
      </c>
      <c r="AA54" s="10">
        <v>40.380000000000003</v>
      </c>
      <c r="AB54" s="95">
        <v>7294000</v>
      </c>
      <c r="AC54" s="10">
        <v>40.29</v>
      </c>
      <c r="AD54">
        <f t="shared" si="2"/>
        <v>1.3699999999999974</v>
      </c>
      <c r="AE54" s="138">
        <f t="shared" si="3"/>
        <v>1.6910651186269554E-2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49.046399999999998</v>
      </c>
      <c r="T55" s="93" t="s">
        <v>108</v>
      </c>
      <c r="U55" s="130" t="s">
        <v>490</v>
      </c>
      <c r="W55" s="133">
        <v>42677</v>
      </c>
      <c r="X55" s="10">
        <v>39.82</v>
      </c>
      <c r="Y55" s="10">
        <v>40.39</v>
      </c>
      <c r="Z55" s="10">
        <v>39.51</v>
      </c>
      <c r="AA55" s="10">
        <v>39.700000000000003</v>
      </c>
      <c r="AB55" s="95">
        <v>5187600</v>
      </c>
      <c r="AC55" s="10">
        <v>39.619999999999997</v>
      </c>
      <c r="AD55">
        <f t="shared" si="2"/>
        <v>0.88000000000000256</v>
      </c>
      <c r="AE55" s="138">
        <f t="shared" si="3"/>
        <v>2.2767518340500725E-3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48.535499999999999</v>
      </c>
      <c r="T56" s="93" t="s">
        <v>111</v>
      </c>
      <c r="U56" s="130">
        <v>14.52</v>
      </c>
      <c r="W56" s="133">
        <v>42676</v>
      </c>
      <c r="X56" s="10">
        <v>39.57</v>
      </c>
      <c r="Y56" s="10">
        <v>40.1</v>
      </c>
      <c r="Z56" s="10">
        <v>39.43</v>
      </c>
      <c r="AA56" s="10">
        <v>39.61</v>
      </c>
      <c r="AB56" s="95">
        <v>6691500</v>
      </c>
      <c r="AC56" s="10">
        <v>39.53</v>
      </c>
      <c r="AD56">
        <f t="shared" si="2"/>
        <v>0.67000000000000171</v>
      </c>
      <c r="AE56" s="138">
        <f t="shared" si="3"/>
        <v>-1.7676767676767513E-3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48.0246</v>
      </c>
      <c r="T57" s="93" t="s">
        <v>112</v>
      </c>
      <c r="U57" s="130">
        <v>3.52</v>
      </c>
      <c r="W57" s="133">
        <v>42675</v>
      </c>
      <c r="X57" s="10">
        <v>39.979999999999997</v>
      </c>
      <c r="Y57" s="10">
        <v>40.42</v>
      </c>
      <c r="Z57" s="10">
        <v>39.33</v>
      </c>
      <c r="AA57" s="10">
        <v>39.68</v>
      </c>
      <c r="AB57" s="95">
        <v>8004600</v>
      </c>
      <c r="AC57" s="10">
        <v>39.6</v>
      </c>
      <c r="AD57">
        <f t="shared" si="2"/>
        <v>1.0900000000000034</v>
      </c>
      <c r="AE57" s="138">
        <f t="shared" si="3"/>
        <v>-9.009009009009028E-3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47.513700000000007</v>
      </c>
      <c r="T58" s="93" t="s">
        <v>109</v>
      </c>
      <c r="U58" s="130" t="s">
        <v>631</v>
      </c>
      <c r="W58" s="133">
        <v>42674</v>
      </c>
      <c r="X58" s="10">
        <v>39.49</v>
      </c>
      <c r="Y58" s="10">
        <v>40.47</v>
      </c>
      <c r="Z58" s="10">
        <v>39.15</v>
      </c>
      <c r="AA58" s="10">
        <v>40.049999999999997</v>
      </c>
      <c r="AB58" s="95">
        <v>8148800</v>
      </c>
      <c r="AC58" s="10">
        <v>39.96</v>
      </c>
      <c r="AD58">
        <f t="shared" si="2"/>
        <v>1.3200000000000003</v>
      </c>
      <c r="AE58" s="138">
        <f t="shared" si="3"/>
        <v>2.1994884910485846E-2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47.002800000000008</v>
      </c>
      <c r="W59" s="133">
        <v>42671</v>
      </c>
      <c r="X59" s="10">
        <v>39.29</v>
      </c>
      <c r="Y59" s="10">
        <v>39.840000000000003</v>
      </c>
      <c r="Z59" s="10">
        <v>38.950000000000003</v>
      </c>
      <c r="AA59" s="10">
        <v>39.18</v>
      </c>
      <c r="AB59" s="95">
        <v>10321200</v>
      </c>
      <c r="AC59" s="10">
        <v>39.1</v>
      </c>
      <c r="AD59">
        <f t="shared" si="2"/>
        <v>0.89000000000000057</v>
      </c>
      <c r="AE59" s="138">
        <f t="shared" si="3"/>
        <v>-1.5321756894789429E-3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46.491900000000008</v>
      </c>
      <c r="W60" s="133">
        <v>42670</v>
      </c>
      <c r="X60" s="10">
        <v>38.5</v>
      </c>
      <c r="Y60" s="10">
        <v>39.58</v>
      </c>
      <c r="Z60" s="10">
        <v>37.65</v>
      </c>
      <c r="AA60" s="10">
        <v>39.24</v>
      </c>
      <c r="AB60" s="95">
        <v>22002700</v>
      </c>
      <c r="AC60" s="10">
        <v>39.159999999999997</v>
      </c>
      <c r="AD60">
        <f t="shared" si="2"/>
        <v>1.9299999999999997</v>
      </c>
      <c r="AE60" s="138">
        <f t="shared" si="3"/>
        <v>2.192066805845494E-2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45.981000000000002</v>
      </c>
      <c r="W61" s="133">
        <v>42669</v>
      </c>
      <c r="X61" s="10">
        <v>41.95</v>
      </c>
      <c r="Y61" s="10">
        <v>41.95</v>
      </c>
      <c r="Z61" s="10">
        <v>36.909999999999997</v>
      </c>
      <c r="AA61" s="10">
        <v>38.4</v>
      </c>
      <c r="AB61" s="95">
        <v>43824900</v>
      </c>
      <c r="AC61" s="10">
        <v>38.32</v>
      </c>
      <c r="AD61">
        <f t="shared" si="2"/>
        <v>5.0400000000000063</v>
      </c>
      <c r="AE61" s="138">
        <f t="shared" si="3"/>
        <v>-8.4567606306736764E-2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42.15</v>
      </c>
      <c r="Y62" s="10">
        <v>42.73</v>
      </c>
      <c r="Z62" s="10">
        <v>41.71</v>
      </c>
      <c r="AA62" s="10">
        <v>41.95</v>
      </c>
      <c r="AB62" s="95">
        <v>11101800</v>
      </c>
      <c r="AC62" s="10">
        <v>41.86</v>
      </c>
      <c r="AD62">
        <f t="shared" si="2"/>
        <v>1.019999999999996</v>
      </c>
      <c r="AE62" s="138">
        <f t="shared" si="3"/>
        <v>-8.9962121212121549E-3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42.52</v>
      </c>
      <c r="Y63" s="10">
        <v>42.93</v>
      </c>
      <c r="Z63" s="10">
        <v>42.2</v>
      </c>
      <c r="AA63" s="10">
        <v>42.33</v>
      </c>
      <c r="AB63" s="95">
        <v>5311400</v>
      </c>
      <c r="AC63" s="10">
        <v>42.24</v>
      </c>
      <c r="AD63">
        <f t="shared" si="2"/>
        <v>0.72999999999999687</v>
      </c>
      <c r="AE63" s="138">
        <f t="shared" si="3"/>
        <v>-2.3618327822390039E-3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41.91</v>
      </c>
      <c r="Y64" s="10">
        <v>42.46</v>
      </c>
      <c r="Z64" s="10">
        <v>41.75</v>
      </c>
      <c r="AA64" s="10">
        <v>42.43</v>
      </c>
      <c r="AB64" s="95">
        <v>5448000</v>
      </c>
      <c r="AC64" s="10">
        <v>42.34</v>
      </c>
      <c r="AD64">
        <f t="shared" si="2"/>
        <v>0.71000000000000085</v>
      </c>
      <c r="AE64" s="138">
        <f t="shared" si="3"/>
        <v>3.3175355450236754E-3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42663</v>
      </c>
      <c r="X65" s="10">
        <v>42.15</v>
      </c>
      <c r="Y65" s="10">
        <v>42.47</v>
      </c>
      <c r="Z65" s="10">
        <v>41.76</v>
      </c>
      <c r="AA65" s="10">
        <v>42.29</v>
      </c>
      <c r="AB65" s="95">
        <v>7813300</v>
      </c>
      <c r="AC65" s="10">
        <v>42.2</v>
      </c>
      <c r="AD65">
        <f t="shared" si="2"/>
        <v>0.71000000000000085</v>
      </c>
      <c r="AE65" s="138">
        <f t="shared" si="3"/>
        <v>9.487666034158071E-4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42662</v>
      </c>
      <c r="X66" s="10">
        <v>41.74</v>
      </c>
      <c r="Y66" s="10">
        <v>42.4</v>
      </c>
      <c r="Z66" s="10">
        <v>41.57</v>
      </c>
      <c r="AA66" s="10">
        <v>42.25</v>
      </c>
      <c r="AB66" s="95">
        <v>6335000</v>
      </c>
      <c r="AC66" s="10">
        <v>42.16</v>
      </c>
      <c r="AD66">
        <f t="shared" si="2"/>
        <v>0.82999999999999829</v>
      </c>
      <c r="AE66" s="138">
        <f t="shared" si="3"/>
        <v>1.3705217600384456E-2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42661</v>
      </c>
      <c r="X67" s="10">
        <v>41.56</v>
      </c>
      <c r="Y67" s="10">
        <v>41.99</v>
      </c>
      <c r="Z67" s="10">
        <v>41.19</v>
      </c>
      <c r="AA67" s="10">
        <v>41.68</v>
      </c>
      <c r="AB67" s="95">
        <v>8755600</v>
      </c>
      <c r="AC67" s="10">
        <v>41.59</v>
      </c>
      <c r="AD67">
        <f t="shared" si="2"/>
        <v>0.80000000000000426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42660</v>
      </c>
      <c r="X68" s="10">
        <v>41.4</v>
      </c>
      <c r="Y68" s="10">
        <v>42.2</v>
      </c>
      <c r="Z68" s="10">
        <v>41.16</v>
      </c>
      <c r="AA68" s="10">
        <v>41.24</v>
      </c>
      <c r="AB68" s="95">
        <v>5509900</v>
      </c>
      <c r="AC68" s="10">
        <v>41.15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95" priority="15">
      <formula>F39&gt;0</formula>
    </cfRule>
    <cfRule type="expression" dxfId="894" priority="16">
      <formula>F39&lt;0</formula>
    </cfRule>
  </conditionalFormatting>
  <conditionalFormatting sqref="Q7">
    <cfRule type="expression" dxfId="893" priority="13">
      <formula>Q7&gt;0</formula>
    </cfRule>
    <cfRule type="expression" dxfId="892" priority="14">
      <formula>Q7&lt;0</formula>
    </cfRule>
  </conditionalFormatting>
  <conditionalFormatting sqref="Q8">
    <cfRule type="expression" dxfId="891" priority="11">
      <formula>Q8&gt;0</formula>
    </cfRule>
    <cfRule type="expression" dxfId="890" priority="12">
      <formula>Q8&lt;0</formula>
    </cfRule>
  </conditionalFormatting>
  <conditionalFormatting sqref="F25:F38">
    <cfRule type="expression" dxfId="889" priority="9">
      <formula>F25&gt;0</formula>
    </cfRule>
    <cfRule type="expression" dxfId="888" priority="10">
      <formula>F25&lt;0</formula>
    </cfRule>
  </conditionalFormatting>
  <conditionalFormatting sqref="H25:H38">
    <cfRule type="expression" dxfId="887" priority="7">
      <formula>H25&gt;0</formula>
    </cfRule>
    <cfRule type="expression" dxfId="8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85" priority="3">
      <formula>M55&gt;0</formula>
    </cfRule>
    <cfRule type="expression" dxfId="884" priority="4">
      <formula>M55&lt;0</formula>
    </cfRule>
  </conditionalFormatting>
  <conditionalFormatting sqref="Q10">
    <cfRule type="expression" dxfId="883" priority="1">
      <formula>Q10&gt;0</formula>
    </cfRule>
    <cfRule type="expression" dxfId="8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369</v>
      </c>
      <c r="B2" s="74">
        <v>42719</v>
      </c>
      <c r="C2" s="4">
        <v>50</v>
      </c>
      <c r="D2" s="3">
        <v>31.18</v>
      </c>
      <c r="E2" s="3">
        <v>0</v>
      </c>
      <c r="F2" s="3">
        <f t="shared" ref="F2" si="0">C2*D2+E2</f>
        <v>1559</v>
      </c>
      <c r="G2" s="74"/>
      <c r="H2" s="4"/>
      <c r="I2" s="3"/>
      <c r="J2" s="3"/>
      <c r="K2" s="3"/>
      <c r="L2" s="1"/>
      <c r="O2" s="11" t="s">
        <v>57</v>
      </c>
      <c r="Q2">
        <f>C18-H18</f>
        <v>50</v>
      </c>
      <c r="T2" s="1"/>
      <c r="W2" s="110">
        <v>42755</v>
      </c>
      <c r="X2" s="9">
        <v>34.01</v>
      </c>
      <c r="Y2" s="9">
        <v>34.11</v>
      </c>
      <c r="Z2" s="9">
        <v>33.69</v>
      </c>
      <c r="AA2" s="9">
        <v>34.03</v>
      </c>
      <c r="AB2" s="104">
        <v>2005100</v>
      </c>
      <c r="AC2" s="9">
        <v>34.03</v>
      </c>
      <c r="AD2" s="40">
        <f>Y2-Z2</f>
        <v>0.42000000000000171</v>
      </c>
      <c r="AE2" s="162">
        <f>AC2/AC3-1</f>
        <v>5.0206733608979537E-3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31.18</v>
      </c>
      <c r="T3" s="1"/>
      <c r="W3" s="110">
        <v>42754</v>
      </c>
      <c r="X3" s="9">
        <v>33.130000000000003</v>
      </c>
      <c r="Y3" s="9">
        <v>33.94</v>
      </c>
      <c r="Z3" s="9">
        <v>33.090000000000003</v>
      </c>
      <c r="AA3" s="9">
        <v>33.86</v>
      </c>
      <c r="AB3" s="104">
        <v>5042600</v>
      </c>
      <c r="AC3" s="9">
        <v>33.86</v>
      </c>
      <c r="AD3" s="40">
        <f t="shared" ref="AD3:AD66" si="1">Y3-Z3</f>
        <v>0.84999999999999432</v>
      </c>
      <c r="AE3" s="162">
        <f t="shared" ref="AE3:AE66" si="2">AC3/AC4-1</f>
        <v>2.668283808368721E-2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34.03</v>
      </c>
      <c r="R4" s="505">
        <v>5.0000000000000001E-3</v>
      </c>
      <c r="T4" s="163"/>
      <c r="W4" s="110">
        <v>42753</v>
      </c>
      <c r="X4" s="9">
        <v>32.520000000000003</v>
      </c>
      <c r="Y4" s="9">
        <v>33.020000000000003</v>
      </c>
      <c r="Z4" s="9">
        <v>32.21</v>
      </c>
      <c r="AA4" s="9">
        <v>32.979999999999997</v>
      </c>
      <c r="AB4" s="104">
        <v>3065100</v>
      </c>
      <c r="AC4" s="9">
        <v>32.979999999999997</v>
      </c>
      <c r="AD4" s="40">
        <f t="shared" si="1"/>
        <v>0.81000000000000227</v>
      </c>
      <c r="AE4" s="162">
        <f t="shared" si="2"/>
        <v>2.3905619372865505E-2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1701.5</v>
      </c>
      <c r="W5" s="110">
        <v>42752</v>
      </c>
      <c r="X5" s="9">
        <v>32.19</v>
      </c>
      <c r="Y5" s="9">
        <v>32.590000000000003</v>
      </c>
      <c r="Z5" s="9">
        <v>31.96</v>
      </c>
      <c r="AA5" s="9">
        <v>32.21</v>
      </c>
      <c r="AB5" s="104">
        <v>2929200</v>
      </c>
      <c r="AC5" s="9">
        <v>32.21</v>
      </c>
      <c r="AD5" s="40">
        <f t="shared" si="1"/>
        <v>0.63000000000000256</v>
      </c>
      <c r="AE5" s="162">
        <f t="shared" si="2"/>
        <v>1.8662519440124647E-3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1559</v>
      </c>
      <c r="W6" s="110">
        <v>42748</v>
      </c>
      <c r="X6" s="9">
        <v>32.299999999999997</v>
      </c>
      <c r="Y6" s="9">
        <v>32.4</v>
      </c>
      <c r="Z6" s="9">
        <v>31.97</v>
      </c>
      <c r="AA6" s="9">
        <v>32.15</v>
      </c>
      <c r="AB6" s="104">
        <v>1090500</v>
      </c>
      <c r="AC6" s="9">
        <v>32.15</v>
      </c>
      <c r="AD6" s="40">
        <f t="shared" si="1"/>
        <v>0.42999999999999972</v>
      </c>
      <c r="AE6" s="162">
        <f t="shared" si="2"/>
        <v>-2.7915632754343944E-3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247.18000000000006</v>
      </c>
      <c r="R7">
        <v>50</v>
      </c>
      <c r="W7" s="110">
        <v>42747</v>
      </c>
      <c r="X7" s="9">
        <v>32.67</v>
      </c>
      <c r="Y7" s="9">
        <v>32.75</v>
      </c>
      <c r="Z7" s="9">
        <v>32.22</v>
      </c>
      <c r="AA7" s="9">
        <v>32.24</v>
      </c>
      <c r="AB7" s="104">
        <v>1078500</v>
      </c>
      <c r="AC7" s="9">
        <v>32.24</v>
      </c>
      <c r="AD7" s="40">
        <f t="shared" si="1"/>
        <v>0.53000000000000114</v>
      </c>
      <c r="AE7" s="162">
        <f t="shared" si="2"/>
        <v>-7.9999999999998961E-3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142.5</v>
      </c>
      <c r="W8" s="110">
        <v>42746</v>
      </c>
      <c r="X8" s="9">
        <v>32.22</v>
      </c>
      <c r="Y8" s="9">
        <v>32.840000000000003</v>
      </c>
      <c r="Z8" s="9">
        <v>31.87</v>
      </c>
      <c r="AA8" s="9">
        <v>32.5</v>
      </c>
      <c r="AB8" s="104">
        <v>2540700</v>
      </c>
      <c r="AC8" s="9">
        <v>32.5</v>
      </c>
      <c r="AD8" s="40">
        <f t="shared" si="1"/>
        <v>0.97000000000000242</v>
      </c>
      <c r="AE8" s="162">
        <f t="shared" si="2"/>
        <v>3.1746031746031855E-2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9.1404746632456707E-2</v>
      </c>
      <c r="W9" s="110">
        <v>42745</v>
      </c>
      <c r="X9" s="9">
        <v>32.36</v>
      </c>
      <c r="Y9" s="9">
        <v>32.44</v>
      </c>
      <c r="Z9" s="9">
        <v>31.45</v>
      </c>
      <c r="AA9" s="9">
        <v>31.5</v>
      </c>
      <c r="AB9" s="104">
        <v>1377100</v>
      </c>
      <c r="AC9" s="9">
        <v>31.5</v>
      </c>
      <c r="AD9" s="40">
        <f t="shared" si="1"/>
        <v>0.98999999999999844</v>
      </c>
      <c r="AE9" s="162">
        <f t="shared" si="2"/>
        <v>-1.4392991239048802E-2</v>
      </c>
    </row>
    <row r="10" spans="1:31" x14ac:dyDescent="0.25">
      <c r="O10" s="11" t="s">
        <v>214</v>
      </c>
      <c r="P10" s="34"/>
      <c r="Q10" s="2">
        <f>M41</f>
        <v>104.68000000000006</v>
      </c>
      <c r="W10" s="110">
        <v>42744</v>
      </c>
      <c r="X10" s="9">
        <v>32.03</v>
      </c>
      <c r="Y10" s="9">
        <v>32.090000000000003</v>
      </c>
      <c r="Z10" s="9">
        <v>31.7</v>
      </c>
      <c r="AA10" s="9">
        <v>31.96</v>
      </c>
      <c r="AB10" s="104">
        <v>985600</v>
      </c>
      <c r="AC10" s="9">
        <v>31.96</v>
      </c>
      <c r="AD10" s="40">
        <f t="shared" si="1"/>
        <v>0.39000000000000412</v>
      </c>
      <c r="AE10" s="162">
        <f t="shared" si="2"/>
        <v>9.3955527716893528E-4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42741</v>
      </c>
      <c r="X11" s="9">
        <v>31.98</v>
      </c>
      <c r="Y11" s="9">
        <v>32.08</v>
      </c>
      <c r="Z11" s="9">
        <v>31.75</v>
      </c>
      <c r="AA11" s="9">
        <v>31.93</v>
      </c>
      <c r="AB11" s="104">
        <v>2405500</v>
      </c>
      <c r="AC11" s="9">
        <v>31.93</v>
      </c>
      <c r="AD11" s="40">
        <f t="shared" si="1"/>
        <v>0.32999999999999829</v>
      </c>
      <c r="AE11" s="162">
        <f t="shared" si="2"/>
        <v>-6.2597809076680999E-4</v>
      </c>
    </row>
    <row r="12" spans="1:31" x14ac:dyDescent="0.25">
      <c r="W12" s="110">
        <v>42740</v>
      </c>
      <c r="X12" s="9">
        <v>31.7</v>
      </c>
      <c r="Y12" s="9">
        <v>31.96</v>
      </c>
      <c r="Z12" s="9">
        <v>31.6</v>
      </c>
      <c r="AA12" s="9">
        <v>31.95</v>
      </c>
      <c r="AB12" s="104">
        <v>1781000</v>
      </c>
      <c r="AC12" s="9">
        <v>31.95</v>
      </c>
      <c r="AD12" s="40">
        <f t="shared" si="1"/>
        <v>0.35999999999999943</v>
      </c>
      <c r="AE12" s="162">
        <f t="shared" si="2"/>
        <v>1.139601139601143E-2</v>
      </c>
    </row>
    <row r="13" spans="1:31" x14ac:dyDescent="0.25">
      <c r="W13" s="110">
        <v>42739</v>
      </c>
      <c r="X13" s="9">
        <v>31.58</v>
      </c>
      <c r="Y13" s="9">
        <v>31.7</v>
      </c>
      <c r="Z13" s="9">
        <v>31.45</v>
      </c>
      <c r="AA13" s="9">
        <v>31.59</v>
      </c>
      <c r="AB13" s="104">
        <v>1113100</v>
      </c>
      <c r="AC13" s="9">
        <v>31.59</v>
      </c>
      <c r="AD13" s="40">
        <f t="shared" si="1"/>
        <v>0.25</v>
      </c>
      <c r="AE13" s="162">
        <f t="shared" si="2"/>
        <v>7.013069811922179E-3</v>
      </c>
    </row>
    <row r="14" spans="1:31" x14ac:dyDescent="0.25">
      <c r="W14" s="110">
        <v>42738</v>
      </c>
      <c r="X14" s="9">
        <v>31.16</v>
      </c>
      <c r="Y14" s="9">
        <v>31.49</v>
      </c>
      <c r="Z14" s="9">
        <v>31.09</v>
      </c>
      <c r="AA14" s="9">
        <v>31.37</v>
      </c>
      <c r="AB14" s="104">
        <v>2219700</v>
      </c>
      <c r="AC14" s="9">
        <v>31.37</v>
      </c>
      <c r="AD14" s="40">
        <f t="shared" si="1"/>
        <v>0.39999999999999858</v>
      </c>
      <c r="AE14" s="162">
        <f t="shared" si="2"/>
        <v>-9.5541401273879778E-4</v>
      </c>
    </row>
    <row r="15" spans="1:31" x14ac:dyDescent="0.25">
      <c r="W15" s="110">
        <v>42734</v>
      </c>
      <c r="X15" s="9">
        <v>31.6</v>
      </c>
      <c r="Y15" s="9">
        <v>31.7</v>
      </c>
      <c r="Z15" s="9">
        <v>31.19</v>
      </c>
      <c r="AA15" s="9">
        <v>31.4</v>
      </c>
      <c r="AB15" s="104">
        <v>1592700</v>
      </c>
      <c r="AC15" s="9">
        <v>31.4</v>
      </c>
      <c r="AD15" s="40">
        <f t="shared" si="1"/>
        <v>0.50999999999999801</v>
      </c>
      <c r="AE15" s="162">
        <f t="shared" si="2"/>
        <v>-5.6998100063331281E-3</v>
      </c>
    </row>
    <row r="16" spans="1:31" x14ac:dyDescent="0.25">
      <c r="W16" s="110">
        <v>42733</v>
      </c>
      <c r="X16" s="9">
        <v>31.73</v>
      </c>
      <c r="Y16" s="9">
        <v>31.81</v>
      </c>
      <c r="Z16" s="9">
        <v>31.56</v>
      </c>
      <c r="AA16" s="9">
        <v>31.58</v>
      </c>
      <c r="AB16" s="104">
        <v>604700</v>
      </c>
      <c r="AC16" s="9">
        <v>31.58</v>
      </c>
      <c r="AD16" s="40">
        <f t="shared" si="1"/>
        <v>0.25</v>
      </c>
      <c r="AE16" s="162">
        <f t="shared" si="2"/>
        <v>-1.2650221378874837E-3</v>
      </c>
    </row>
    <row r="17" spans="1:31" x14ac:dyDescent="0.25">
      <c r="H17" s="72"/>
      <c r="W17" s="110">
        <v>42732</v>
      </c>
      <c r="X17" s="9">
        <v>31.57</v>
      </c>
      <c r="Y17" s="9">
        <v>31.87</v>
      </c>
      <c r="Z17" s="9">
        <v>31.52</v>
      </c>
      <c r="AA17" s="9">
        <v>31.62</v>
      </c>
      <c r="AB17" s="104">
        <v>709900</v>
      </c>
      <c r="AC17" s="9">
        <v>31.62</v>
      </c>
      <c r="AD17" s="40">
        <f t="shared" si="1"/>
        <v>0.35000000000000142</v>
      </c>
      <c r="AE17" s="162" t="e">
        <f t="shared" si="2"/>
        <v>#DIV/0!</v>
      </c>
    </row>
    <row r="18" spans="1:31" x14ac:dyDescent="0.25">
      <c r="A18" s="32" t="s">
        <v>81</v>
      </c>
      <c r="B18" s="14"/>
      <c r="C18" s="14">
        <f>SUM(C2:C17)</f>
        <v>50</v>
      </c>
      <c r="D18" s="18"/>
      <c r="E18" s="18"/>
      <c r="F18" s="18">
        <f>SUM(F2:F17)</f>
        <v>1559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42732</v>
      </c>
      <c r="X18" s="9" t="s">
        <v>398</v>
      </c>
      <c r="Y18" s="9"/>
      <c r="Z18" s="9"/>
      <c r="AA18" s="9"/>
      <c r="AB18" s="104"/>
      <c r="AC18" s="9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42731</v>
      </c>
      <c r="X19" s="9">
        <v>32.19</v>
      </c>
      <c r="Y19" s="9">
        <v>32.29</v>
      </c>
      <c r="Z19" s="9">
        <v>31.91</v>
      </c>
      <c r="AA19" s="9">
        <v>31.91</v>
      </c>
      <c r="AB19" s="104">
        <v>632700</v>
      </c>
      <c r="AC19" s="9">
        <v>31.73</v>
      </c>
      <c r="AD19" s="40">
        <f t="shared" si="1"/>
        <v>0.37999999999999901</v>
      </c>
      <c r="AE19" s="162">
        <f t="shared" si="2"/>
        <v>-8.7472664792251908E-3</v>
      </c>
    </row>
    <row r="20" spans="1:31" x14ac:dyDescent="0.25">
      <c r="W20" s="110">
        <v>42727</v>
      </c>
      <c r="X20" s="9">
        <v>32.18</v>
      </c>
      <c r="Y20" s="9">
        <v>32.340000000000003</v>
      </c>
      <c r="Z20" s="9">
        <v>31.96</v>
      </c>
      <c r="AA20" s="9">
        <v>32.19</v>
      </c>
      <c r="AB20" s="104">
        <v>981400</v>
      </c>
      <c r="AC20" s="9">
        <v>32.01</v>
      </c>
      <c r="AD20" s="40">
        <f t="shared" si="1"/>
        <v>0.38000000000000256</v>
      </c>
      <c r="AE20" s="162">
        <f t="shared" si="2"/>
        <v>-3.1142946122704185E-3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156</v>
      </c>
      <c r="W21" s="110">
        <v>42726</v>
      </c>
      <c r="X21" s="9">
        <v>32.299999999999997</v>
      </c>
      <c r="Y21" s="9">
        <v>32.39</v>
      </c>
      <c r="Z21" s="9">
        <v>32.21</v>
      </c>
      <c r="AA21" s="9">
        <v>32.29</v>
      </c>
      <c r="AB21" s="104">
        <v>947600</v>
      </c>
      <c r="AC21" s="9">
        <v>32.11</v>
      </c>
      <c r="AD21" s="40">
        <f t="shared" si="1"/>
        <v>0.17999999999999972</v>
      </c>
      <c r="AE21" s="162">
        <f t="shared" si="2"/>
        <v>-3.4140285536933268E-3</v>
      </c>
    </row>
    <row r="22" spans="1:31" x14ac:dyDescent="0.25">
      <c r="A22" t="s">
        <v>620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42725</v>
      </c>
      <c r="X22" s="9">
        <v>32.31</v>
      </c>
      <c r="Y22" s="9">
        <v>32.57</v>
      </c>
      <c r="Z22" s="9">
        <v>32.299999999999997</v>
      </c>
      <c r="AA22" s="9">
        <v>32.4</v>
      </c>
      <c r="AB22" s="104">
        <v>1117800</v>
      </c>
      <c r="AC22" s="9">
        <v>32.22</v>
      </c>
      <c r="AD22" s="40">
        <f t="shared" si="1"/>
        <v>0.27000000000000313</v>
      </c>
      <c r="AE22" s="162">
        <f t="shared" si="2"/>
        <v>4.9906425452275194E-3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42724</v>
      </c>
      <c r="X23" s="9">
        <v>32.200000000000003</v>
      </c>
      <c r="Y23" s="9">
        <v>32.369999999999997</v>
      </c>
      <c r="Z23" s="9">
        <v>32.08</v>
      </c>
      <c r="AA23" s="9">
        <v>32.24</v>
      </c>
      <c r="AB23" s="104">
        <v>1420100</v>
      </c>
      <c r="AC23" s="9">
        <v>32.06</v>
      </c>
      <c r="AD23" s="40">
        <f t="shared" si="1"/>
        <v>0.28999999999999915</v>
      </c>
      <c r="AE23" s="162">
        <f t="shared" si="2"/>
        <v>-5.2745888923361184E-3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42723</v>
      </c>
      <c r="X24" s="9">
        <v>32.18</v>
      </c>
      <c r="Y24" s="9">
        <v>32.56</v>
      </c>
      <c r="Z24" s="9">
        <v>32.17</v>
      </c>
      <c r="AA24" s="9">
        <v>32.409999999999997</v>
      </c>
      <c r="AB24" s="104">
        <v>1312600</v>
      </c>
      <c r="AC24" s="9">
        <v>32.229999999999997</v>
      </c>
      <c r="AD24" s="40">
        <f t="shared" si="1"/>
        <v>0.39000000000000057</v>
      </c>
      <c r="AE24" s="162">
        <f t="shared" si="2"/>
        <v>-1.8581604211831415E-3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42720</v>
      </c>
      <c r="X25" s="9">
        <v>32.35</v>
      </c>
      <c r="Y25" s="9">
        <v>32.51</v>
      </c>
      <c r="Z25" s="9">
        <v>32.17</v>
      </c>
      <c r="AA25" s="9">
        <v>32.47</v>
      </c>
      <c r="AB25" s="104">
        <v>1421000</v>
      </c>
      <c r="AC25" s="9">
        <v>32.29</v>
      </c>
      <c r="AD25" s="40">
        <f t="shared" si="1"/>
        <v>0.33999999999999631</v>
      </c>
      <c r="AE25" s="162">
        <f t="shared" si="2"/>
        <v>1.000938379731009E-2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42719</v>
      </c>
      <c r="X26" s="9">
        <v>31.18</v>
      </c>
      <c r="Y26" s="9">
        <v>32.36</v>
      </c>
      <c r="Z26" s="9">
        <v>31.01</v>
      </c>
      <c r="AA26" s="9">
        <v>32.15</v>
      </c>
      <c r="AB26" s="104">
        <v>1847600</v>
      </c>
      <c r="AC26" s="9">
        <v>31.97</v>
      </c>
      <c r="AD26" s="40">
        <f t="shared" si="1"/>
        <v>1.3499999999999979</v>
      </c>
      <c r="AE26" s="162">
        <f t="shared" si="2"/>
        <v>1.8152866242038268E-2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42718</v>
      </c>
      <c r="X27" s="9">
        <v>32.020000000000003</v>
      </c>
      <c r="Y27" s="9">
        <v>32.11</v>
      </c>
      <c r="Z27" s="9">
        <v>31.58</v>
      </c>
      <c r="AA27" s="9">
        <v>31.58</v>
      </c>
      <c r="AB27" s="104">
        <v>1906400</v>
      </c>
      <c r="AC27" s="9">
        <v>31.4</v>
      </c>
      <c r="AD27" s="40">
        <f t="shared" si="1"/>
        <v>0.53000000000000114</v>
      </c>
      <c r="AE27" s="162">
        <f t="shared" si="2"/>
        <v>-7.89889415481837E-3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42717</v>
      </c>
      <c r="X28" s="9">
        <v>32.159999999999997</v>
      </c>
      <c r="Y28" s="9">
        <v>32.159999999999997</v>
      </c>
      <c r="Z28" s="9">
        <v>31.48</v>
      </c>
      <c r="AA28" s="9">
        <v>31.83</v>
      </c>
      <c r="AB28" s="104">
        <v>1724400</v>
      </c>
      <c r="AC28" s="9">
        <v>31.65</v>
      </c>
      <c r="AD28" s="40">
        <f t="shared" si="1"/>
        <v>0.67999999999999616</v>
      </c>
      <c r="AE28" s="162">
        <f t="shared" si="2"/>
        <v>-9.3896713615023719E-3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42716</v>
      </c>
      <c r="X29" s="9">
        <v>32.380000000000003</v>
      </c>
      <c r="Y29" s="9">
        <v>32.729999999999997</v>
      </c>
      <c r="Z29" s="9">
        <v>32</v>
      </c>
      <c r="AA29" s="9">
        <v>32.130000000000003</v>
      </c>
      <c r="AB29" s="104">
        <v>2787800</v>
      </c>
      <c r="AC29" s="9">
        <v>31.95</v>
      </c>
      <c r="AD29" s="40">
        <f t="shared" si="1"/>
        <v>0.72999999999999687</v>
      </c>
      <c r="AE29" s="162">
        <f t="shared" si="2"/>
        <v>-5.2926525529264357E-3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42713</v>
      </c>
      <c r="X30" s="9">
        <v>31.65</v>
      </c>
      <c r="Y30" s="9">
        <v>32.54</v>
      </c>
      <c r="Z30" s="9">
        <v>31.65</v>
      </c>
      <c r="AA30" s="9">
        <v>32.299999999999997</v>
      </c>
      <c r="AB30" s="104">
        <v>2558000</v>
      </c>
      <c r="AC30" s="9">
        <v>32.119999999999997</v>
      </c>
      <c r="AD30" s="40">
        <f t="shared" si="1"/>
        <v>0.89000000000000057</v>
      </c>
      <c r="AE30" s="162">
        <f t="shared" si="2"/>
        <v>2.0979020979020824E-2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42712</v>
      </c>
      <c r="X31" s="9">
        <v>31.5</v>
      </c>
      <c r="Y31" s="9">
        <v>31.81</v>
      </c>
      <c r="Z31" s="9">
        <v>31.36</v>
      </c>
      <c r="AA31" s="9">
        <v>31.64</v>
      </c>
      <c r="AB31" s="104">
        <v>1829400</v>
      </c>
      <c r="AC31" s="9">
        <v>31.46</v>
      </c>
      <c r="AD31" s="40">
        <f t="shared" si="1"/>
        <v>0.44999999999999929</v>
      </c>
      <c r="AE31" s="162">
        <f t="shared" si="2"/>
        <v>-1.2864763100094101E-2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42711</v>
      </c>
      <c r="X32" s="9">
        <v>31.45</v>
      </c>
      <c r="Y32" s="9">
        <v>32.090000000000003</v>
      </c>
      <c r="Z32" s="9">
        <v>31.4</v>
      </c>
      <c r="AA32" s="9">
        <v>32.049999999999997</v>
      </c>
      <c r="AB32" s="104">
        <v>2881300</v>
      </c>
      <c r="AC32" s="9">
        <v>31.87</v>
      </c>
      <c r="AD32" s="40">
        <f t="shared" si="1"/>
        <v>0.69000000000000483</v>
      </c>
      <c r="AE32" s="162">
        <f t="shared" si="2"/>
        <v>2.344251766217087E-2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42710</v>
      </c>
      <c r="X33" s="9">
        <v>31.35</v>
      </c>
      <c r="Y33" s="9">
        <v>31.43</v>
      </c>
      <c r="Z33" s="9">
        <v>30.55</v>
      </c>
      <c r="AA33" s="9">
        <v>31.31</v>
      </c>
      <c r="AB33" s="104">
        <v>9273100</v>
      </c>
      <c r="AC33" s="9">
        <v>31.14</v>
      </c>
      <c r="AD33" s="40">
        <f t="shared" si="1"/>
        <v>0.87999999999999901</v>
      </c>
      <c r="AE33" s="162">
        <f t="shared" si="2"/>
        <v>-8.5959885386819312E-3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31.9</v>
      </c>
      <c r="Y34" s="9">
        <v>31.96</v>
      </c>
      <c r="Z34" s="9">
        <v>31.48</v>
      </c>
      <c r="AA34" s="9">
        <v>31.59</v>
      </c>
      <c r="AB34" s="104">
        <v>2220500</v>
      </c>
      <c r="AC34" s="9">
        <v>31.41</v>
      </c>
      <c r="AD34" s="40">
        <f t="shared" si="1"/>
        <v>0.48000000000000043</v>
      </c>
      <c r="AE34" s="162">
        <f t="shared" si="2"/>
        <v>2.2335673261009159E-3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42706</v>
      </c>
      <c r="X35" s="9">
        <v>31.81</v>
      </c>
      <c r="Y35" s="9">
        <v>32</v>
      </c>
      <c r="Z35" s="9">
        <v>31.42</v>
      </c>
      <c r="AA35" s="9">
        <v>31.52</v>
      </c>
      <c r="AB35" s="104">
        <v>3702400</v>
      </c>
      <c r="AC35" s="9">
        <v>31.34</v>
      </c>
      <c r="AD35" s="40">
        <f t="shared" si="1"/>
        <v>0.57999999999999829</v>
      </c>
      <c r="AE35" s="162">
        <f t="shared" si="2"/>
        <v>3.8436899423446302E-3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42705</v>
      </c>
      <c r="X36" s="9">
        <v>32.57</v>
      </c>
      <c r="Y36" s="9">
        <v>32.57</v>
      </c>
      <c r="Z36" s="9">
        <v>31.37</v>
      </c>
      <c r="AA36" s="9">
        <v>31.4</v>
      </c>
      <c r="AB36" s="104">
        <v>2295200</v>
      </c>
      <c r="AC36" s="9">
        <v>31.22</v>
      </c>
      <c r="AD36" s="40">
        <f t="shared" si="1"/>
        <v>1.1999999999999993</v>
      </c>
      <c r="AE36" s="162">
        <f t="shared" si="2"/>
        <v>-3.2837670384138873E-2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42704</v>
      </c>
      <c r="X37" s="9">
        <v>33.200000000000003</v>
      </c>
      <c r="Y37" s="9">
        <v>33.24</v>
      </c>
      <c r="Z37" s="9">
        <v>32.450000000000003</v>
      </c>
      <c r="AA37" s="9">
        <v>32.46</v>
      </c>
      <c r="AB37" s="104">
        <v>2809400</v>
      </c>
      <c r="AC37" s="9">
        <v>32.28</v>
      </c>
      <c r="AD37" s="40">
        <f t="shared" si="1"/>
        <v>0.78999999999999915</v>
      </c>
      <c r="AE37" s="162">
        <f t="shared" si="2"/>
        <v>-1.6752969844654242E-2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42703</v>
      </c>
      <c r="X38" s="9">
        <v>33.53</v>
      </c>
      <c r="Y38" s="9">
        <v>33.549999999999997</v>
      </c>
      <c r="Z38" s="9">
        <v>32.94</v>
      </c>
      <c r="AA38" s="9">
        <v>33.01</v>
      </c>
      <c r="AB38" s="104">
        <v>1704700</v>
      </c>
      <c r="AC38" s="9">
        <v>32.83</v>
      </c>
      <c r="AD38" s="40">
        <f t="shared" si="1"/>
        <v>0.60999999999999943</v>
      </c>
      <c r="AE38" s="162">
        <f t="shared" si="2"/>
        <v>-1.3521634615384692E-2</v>
      </c>
    </row>
    <row r="39" spans="1:31" x14ac:dyDescent="0.25">
      <c r="W39" s="110">
        <v>42702</v>
      </c>
      <c r="X39" s="9">
        <v>33.65</v>
      </c>
      <c r="Y39" s="9">
        <v>33.71</v>
      </c>
      <c r="Z39" s="9">
        <v>33.380000000000003</v>
      </c>
      <c r="AA39" s="9">
        <v>33.47</v>
      </c>
      <c r="AB39" s="104">
        <v>1715600</v>
      </c>
      <c r="AC39" s="9">
        <v>33.28</v>
      </c>
      <c r="AD39" s="40">
        <f t="shared" si="1"/>
        <v>0.32999999999999829</v>
      </c>
      <c r="AE39" s="162">
        <f t="shared" si="2"/>
        <v>-6.0060060060052045E-4</v>
      </c>
    </row>
    <row r="40" spans="1:31" ht="20.25" thickBot="1" x14ac:dyDescent="0.35">
      <c r="O40" s="632" t="s">
        <v>78</v>
      </c>
      <c r="P40" s="632"/>
      <c r="W40" s="110">
        <v>42699</v>
      </c>
      <c r="X40" s="9">
        <v>33.78</v>
      </c>
      <c r="Y40" s="9">
        <v>33.82</v>
      </c>
      <c r="Z40" s="9">
        <v>33.33</v>
      </c>
      <c r="AA40" s="9">
        <v>33.49</v>
      </c>
      <c r="AB40" s="104">
        <v>1673000</v>
      </c>
      <c r="AC40" s="9">
        <v>33.299999999999997</v>
      </c>
      <c r="AD40" s="40">
        <f t="shared" si="1"/>
        <v>0.49000000000000199</v>
      </c>
      <c r="AE40" s="162">
        <f t="shared" si="2"/>
        <v>7.5642965204236745E-3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104.68000000000006</v>
      </c>
      <c r="O41" s="83">
        <v>1.1000000000000001</v>
      </c>
      <c r="P41" s="83">
        <f>O41*$Q$4</f>
        <v>37.433000000000007</v>
      </c>
      <c r="Q41" s="2"/>
      <c r="W41" s="110">
        <v>42697</v>
      </c>
      <c r="X41" s="9">
        <v>33.72</v>
      </c>
      <c r="Y41" s="9">
        <v>33.72</v>
      </c>
      <c r="Z41" s="9">
        <v>33.200000000000003</v>
      </c>
      <c r="AA41" s="9">
        <v>33.24</v>
      </c>
      <c r="AB41" s="104">
        <v>2028600</v>
      </c>
      <c r="AC41" s="9">
        <v>33.049999999999997</v>
      </c>
      <c r="AD41" s="40">
        <f t="shared" si="1"/>
        <v>0.51999999999999602</v>
      </c>
      <c r="AE41" s="162">
        <f t="shared" si="2"/>
        <v>-1.4609421586165849E-2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3">O42*$Q$4</f>
        <v>37.092700000000001</v>
      </c>
      <c r="Q42" s="2"/>
      <c r="T42" s="91" t="s">
        <v>113</v>
      </c>
      <c r="W42" s="110">
        <v>42696</v>
      </c>
      <c r="X42" s="9">
        <v>34.19</v>
      </c>
      <c r="Y42" s="9">
        <v>34.4</v>
      </c>
      <c r="Z42" s="9">
        <v>33.71</v>
      </c>
      <c r="AA42" s="9">
        <v>33.729999999999997</v>
      </c>
      <c r="AB42" s="104">
        <v>2335500</v>
      </c>
      <c r="AC42" s="9">
        <v>33.54</v>
      </c>
      <c r="AD42" s="40">
        <f t="shared" si="1"/>
        <v>0.68999999999999773</v>
      </c>
      <c r="AE42" s="162">
        <f t="shared" si="2"/>
        <v>-6.8107787977496059E-3</v>
      </c>
    </row>
    <row r="43" spans="1:31" ht="15.75" thickTop="1" x14ac:dyDescent="0.25">
      <c r="A43" s="390" t="s">
        <v>369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" si="4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17.72</v>
      </c>
      <c r="O43" s="83">
        <v>1.08</v>
      </c>
      <c r="P43" s="83">
        <f t="shared" si="3"/>
        <v>36.752400000000002</v>
      </c>
      <c r="Q43" s="2"/>
      <c r="T43" s="128" t="s">
        <v>98</v>
      </c>
      <c r="U43" s="129">
        <v>33.86</v>
      </c>
      <c r="W43" s="110">
        <v>42695</v>
      </c>
      <c r="X43" s="9">
        <v>33.74</v>
      </c>
      <c r="Y43" s="9">
        <v>34.24</v>
      </c>
      <c r="Z43" s="9">
        <v>33.61</v>
      </c>
      <c r="AA43" s="9">
        <v>33.96</v>
      </c>
      <c r="AB43" s="104">
        <v>1879300</v>
      </c>
      <c r="AC43" s="9">
        <v>33.770000000000003</v>
      </c>
      <c r="AD43" s="40">
        <f t="shared" si="1"/>
        <v>0.63000000000000256</v>
      </c>
      <c r="AE43" s="162">
        <f t="shared" si="2"/>
        <v>6.8574836016697116E-3</v>
      </c>
    </row>
    <row r="44" spans="1:31" x14ac:dyDescent="0.25">
      <c r="A44" s="391" t="s">
        <v>71</v>
      </c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1.07</v>
      </c>
      <c r="P44" s="83">
        <f t="shared" si="3"/>
        <v>36.412100000000002</v>
      </c>
      <c r="Q44" s="2"/>
      <c r="T44" s="93" t="s">
        <v>99</v>
      </c>
      <c r="U44" s="130">
        <v>34.01</v>
      </c>
      <c r="W44" s="110">
        <v>42692</v>
      </c>
      <c r="X44" s="9">
        <v>34.04</v>
      </c>
      <c r="Y44" s="9">
        <v>34.17</v>
      </c>
      <c r="Z44" s="9">
        <v>33.69</v>
      </c>
      <c r="AA44" s="9">
        <v>33.729999999999997</v>
      </c>
      <c r="AB44" s="104">
        <v>2205300</v>
      </c>
      <c r="AC44" s="9">
        <v>33.54</v>
      </c>
      <c r="AD44" s="40">
        <f t="shared" si="1"/>
        <v>0.48000000000000398</v>
      </c>
      <c r="AE44" s="162">
        <f t="shared" si="2"/>
        <v>-1.0035419126328327E-2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3"/>
        <v>36.071800000000003</v>
      </c>
      <c r="Q45" s="2"/>
      <c r="T45" s="93" t="s">
        <v>100</v>
      </c>
      <c r="U45" s="130" t="s">
        <v>129</v>
      </c>
      <c r="W45" s="110">
        <v>42691</v>
      </c>
      <c r="X45" s="9">
        <v>34.53</v>
      </c>
      <c r="Y45" s="9">
        <v>34.94</v>
      </c>
      <c r="Z45" s="9">
        <v>34.03</v>
      </c>
      <c r="AA45" s="9">
        <v>34.07</v>
      </c>
      <c r="AB45" s="104">
        <v>2172600</v>
      </c>
      <c r="AC45" s="9">
        <v>33.880000000000003</v>
      </c>
      <c r="AD45" s="40">
        <f t="shared" si="1"/>
        <v>0.90999999999999659</v>
      </c>
      <c r="AE45" s="162">
        <f t="shared" si="2"/>
        <v>-1.8539976825028948E-2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3"/>
        <v>35.731500000000004</v>
      </c>
      <c r="Q46" s="2"/>
      <c r="T46" s="93" t="s">
        <v>101</v>
      </c>
      <c r="U46" s="130" t="s">
        <v>129</v>
      </c>
      <c r="W46" s="110">
        <v>42690</v>
      </c>
      <c r="X46" s="9">
        <v>34.85</v>
      </c>
      <c r="Y46" s="9">
        <v>35.11</v>
      </c>
      <c r="Z46" s="9">
        <v>34.68</v>
      </c>
      <c r="AA46" s="9">
        <v>34.71</v>
      </c>
      <c r="AB46" s="104">
        <v>1946200</v>
      </c>
      <c r="AC46" s="9">
        <v>34.520000000000003</v>
      </c>
      <c r="AD46" s="40">
        <f t="shared" si="1"/>
        <v>0.42999999999999972</v>
      </c>
      <c r="AE46" s="162">
        <f t="shared" si="2"/>
        <v>-1.1737761236759181E-2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3"/>
        <v>35.391200000000005</v>
      </c>
      <c r="Q47" s="2"/>
      <c r="T47" s="93" t="s">
        <v>102</v>
      </c>
      <c r="U47" s="130">
        <v>38.42</v>
      </c>
      <c r="W47" s="110">
        <v>42689</v>
      </c>
      <c r="X47" s="9">
        <v>34.979999999999997</v>
      </c>
      <c r="Y47" s="9">
        <v>35.229999999999997</v>
      </c>
      <c r="Z47" s="9">
        <v>34.82</v>
      </c>
      <c r="AA47" s="9">
        <v>35.130000000000003</v>
      </c>
      <c r="AB47" s="104">
        <v>2193600</v>
      </c>
      <c r="AC47" s="9">
        <v>34.93</v>
      </c>
      <c r="AD47" s="40">
        <f t="shared" si="1"/>
        <v>0.40999999999999659</v>
      </c>
      <c r="AE47" s="162">
        <f t="shared" si="2"/>
        <v>1.7206767995412431E-3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3"/>
        <v>35.050899999999999</v>
      </c>
      <c r="Q48" s="2"/>
      <c r="T48" s="93" t="s">
        <v>103</v>
      </c>
      <c r="U48" s="130">
        <v>0.90102199999999999</v>
      </c>
      <c r="W48" s="110">
        <v>42688</v>
      </c>
      <c r="X48" s="9">
        <v>35.11</v>
      </c>
      <c r="Y48" s="9">
        <v>35.33</v>
      </c>
      <c r="Z48" s="9">
        <v>34.81</v>
      </c>
      <c r="AA48" s="9">
        <v>35.07</v>
      </c>
      <c r="AB48" s="104">
        <v>3034900</v>
      </c>
      <c r="AC48" s="9">
        <v>34.869999999999997</v>
      </c>
      <c r="AD48" s="40">
        <f t="shared" si="1"/>
        <v>0.51999999999999602</v>
      </c>
      <c r="AE48" s="162">
        <f t="shared" si="2"/>
        <v>-1.1341083073433622E-2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3"/>
        <v>34.710599999999999</v>
      </c>
      <c r="Q49" s="2"/>
      <c r="T49" s="93" t="s">
        <v>104</v>
      </c>
      <c r="U49" s="130" t="s">
        <v>129</v>
      </c>
      <c r="W49" s="110">
        <v>42685</v>
      </c>
      <c r="X49" s="9">
        <v>34.94</v>
      </c>
      <c r="Y49" s="9">
        <v>35.68</v>
      </c>
      <c r="Z49" s="9">
        <v>34.32</v>
      </c>
      <c r="AA49" s="9">
        <v>35.47</v>
      </c>
      <c r="AB49" s="104">
        <v>2641800</v>
      </c>
      <c r="AC49" s="9">
        <v>35.270000000000003</v>
      </c>
      <c r="AD49" s="40">
        <f t="shared" si="1"/>
        <v>1.3599999999999994</v>
      </c>
      <c r="AE49" s="162">
        <f t="shared" si="2"/>
        <v>1.5548517132162543E-2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3"/>
        <v>34.3703</v>
      </c>
      <c r="Q50" s="2"/>
      <c r="T50" s="93"/>
      <c r="U50" s="130"/>
      <c r="W50" s="110">
        <v>42684</v>
      </c>
      <c r="X50" s="9">
        <v>37.119999999999997</v>
      </c>
      <c r="Y50" s="9">
        <v>37.14</v>
      </c>
      <c r="Z50" s="9">
        <v>34.76</v>
      </c>
      <c r="AA50" s="9">
        <v>34.92</v>
      </c>
      <c r="AB50" s="104">
        <v>5671000</v>
      </c>
      <c r="AC50" s="9">
        <v>34.729999999999997</v>
      </c>
      <c r="AD50" s="40">
        <f t="shared" si="1"/>
        <v>2.3800000000000026</v>
      </c>
      <c r="AE50" s="162">
        <f t="shared" si="2"/>
        <v>-8.7493431424067403E-2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3"/>
        <v>34.03</v>
      </c>
      <c r="Q51" s="2"/>
      <c r="T51" s="93" t="s">
        <v>105</v>
      </c>
      <c r="U51" s="130" t="s">
        <v>491</v>
      </c>
      <c r="W51" s="110">
        <v>42683</v>
      </c>
      <c r="X51" s="9">
        <v>38.5</v>
      </c>
      <c r="Y51" s="9">
        <v>38.590000000000003</v>
      </c>
      <c r="Z51" s="9">
        <v>38.01</v>
      </c>
      <c r="AA51" s="9">
        <v>38.270000000000003</v>
      </c>
      <c r="AB51" s="104">
        <v>1534600</v>
      </c>
      <c r="AC51" s="9">
        <v>38.06</v>
      </c>
      <c r="AD51" s="40">
        <f t="shared" si="1"/>
        <v>0.5800000000000054</v>
      </c>
      <c r="AE51" s="162">
        <f t="shared" si="2"/>
        <v>-1.9577537351880392E-2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3"/>
        <v>33.689700000000002</v>
      </c>
      <c r="Q52" s="2"/>
      <c r="T52" s="93" t="s">
        <v>106</v>
      </c>
      <c r="U52" s="130" t="s">
        <v>370</v>
      </c>
      <c r="W52" s="110">
        <v>42682</v>
      </c>
      <c r="X52" s="9">
        <v>38.31</v>
      </c>
      <c r="Y52" s="9">
        <v>39.35</v>
      </c>
      <c r="Z52" s="9">
        <v>38.31</v>
      </c>
      <c r="AA52" s="9">
        <v>39.04</v>
      </c>
      <c r="AB52" s="104">
        <v>1067900</v>
      </c>
      <c r="AC52" s="9">
        <v>38.82</v>
      </c>
      <c r="AD52" s="40">
        <f t="shared" si="1"/>
        <v>1.0399999999999991</v>
      </c>
      <c r="AE52" s="162">
        <f t="shared" si="2"/>
        <v>1.2519561815336422E-2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3"/>
        <v>33.349400000000003</v>
      </c>
      <c r="Q53" s="2"/>
      <c r="T53" s="93" t="s">
        <v>107</v>
      </c>
      <c r="U53" s="131">
        <v>2005050</v>
      </c>
      <c r="W53" s="110">
        <v>42681</v>
      </c>
      <c r="X53" s="9">
        <v>37.950000000000003</v>
      </c>
      <c r="Y53" s="9">
        <v>38.590000000000003</v>
      </c>
      <c r="Z53" s="9">
        <v>37.950000000000003</v>
      </c>
      <c r="AA53" s="9">
        <v>38.56</v>
      </c>
      <c r="AB53" s="104">
        <v>1236000</v>
      </c>
      <c r="AC53" s="9">
        <v>38.340000000000003</v>
      </c>
      <c r="AD53" s="40">
        <f t="shared" si="1"/>
        <v>0.64000000000000057</v>
      </c>
      <c r="AE53" s="162">
        <f t="shared" si="2"/>
        <v>1.6706443914081159E-2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3"/>
        <v>33.009100000000004</v>
      </c>
      <c r="T54" s="93" t="s">
        <v>110</v>
      </c>
      <c r="U54" s="131">
        <v>1966340</v>
      </c>
      <c r="W54" s="110">
        <v>42678</v>
      </c>
      <c r="X54" s="9">
        <v>38.159999999999997</v>
      </c>
      <c r="Y54" s="9">
        <v>38.36</v>
      </c>
      <c r="Z54" s="9">
        <v>37.82</v>
      </c>
      <c r="AA54" s="9">
        <v>37.92</v>
      </c>
      <c r="AB54" s="104">
        <v>1528900</v>
      </c>
      <c r="AC54" s="9">
        <v>37.71</v>
      </c>
      <c r="AD54" s="40">
        <f t="shared" si="1"/>
        <v>0.53999999999999915</v>
      </c>
      <c r="AE54" s="162">
        <f t="shared" si="2"/>
        <v>-2.10280373831776E-2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3"/>
        <v>32.668799999999997</v>
      </c>
      <c r="T55" s="93" t="s">
        <v>108</v>
      </c>
      <c r="U55" s="130" t="s">
        <v>632</v>
      </c>
      <c r="W55" s="110">
        <v>42677</v>
      </c>
      <c r="X55" s="9">
        <v>38.61</v>
      </c>
      <c r="Y55" s="9">
        <v>38.94</v>
      </c>
      <c r="Z55" s="9">
        <v>38.53</v>
      </c>
      <c r="AA55" s="9">
        <v>38.74</v>
      </c>
      <c r="AB55" s="104">
        <v>1466900</v>
      </c>
      <c r="AC55" s="9">
        <v>38.520000000000003</v>
      </c>
      <c r="AD55" s="40">
        <f t="shared" si="1"/>
        <v>0.40999999999999659</v>
      </c>
      <c r="AE55" s="162">
        <f t="shared" si="2"/>
        <v>-2.5953802232026035E-4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3"/>
        <v>32.328499999999998</v>
      </c>
      <c r="T56" s="93" t="s">
        <v>111</v>
      </c>
      <c r="U56" s="130">
        <v>25.13</v>
      </c>
      <c r="W56" s="110">
        <v>42676</v>
      </c>
      <c r="X56" s="9">
        <v>38.43</v>
      </c>
      <c r="Y56" s="9">
        <v>38.880000000000003</v>
      </c>
      <c r="Z56" s="9">
        <v>38.369999999999997</v>
      </c>
      <c r="AA56" s="9">
        <v>38.75</v>
      </c>
      <c r="AB56" s="104">
        <v>969300</v>
      </c>
      <c r="AC56" s="9">
        <v>38.53</v>
      </c>
      <c r="AD56" s="40">
        <f t="shared" si="1"/>
        <v>0.51000000000000512</v>
      </c>
      <c r="AE56" s="162">
        <f t="shared" si="2"/>
        <v>5.4801670146138459E-3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3"/>
        <v>31.988199999999999</v>
      </c>
      <c r="T57" s="93" t="s">
        <v>112</v>
      </c>
      <c r="U57" s="130">
        <v>1.35</v>
      </c>
      <c r="W57" s="110">
        <v>42675</v>
      </c>
      <c r="X57" s="9">
        <v>38.19</v>
      </c>
      <c r="Y57" s="9">
        <v>38.54</v>
      </c>
      <c r="Z57" s="9">
        <v>38.08</v>
      </c>
      <c r="AA57" s="9">
        <v>38.53</v>
      </c>
      <c r="AB57" s="104">
        <v>1433100</v>
      </c>
      <c r="AC57" s="9">
        <v>38.32</v>
      </c>
      <c r="AD57" s="40">
        <f t="shared" si="1"/>
        <v>0.46000000000000085</v>
      </c>
      <c r="AE57" s="162">
        <f t="shared" si="2"/>
        <v>2.3541721161393081E-3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"/>
        <v>31.647900000000003</v>
      </c>
      <c r="T58" s="93" t="s">
        <v>109</v>
      </c>
      <c r="U58" s="130" t="s">
        <v>371</v>
      </c>
      <c r="W58" s="110">
        <v>42674</v>
      </c>
      <c r="X58" s="9">
        <v>38.28</v>
      </c>
      <c r="Y58" s="9">
        <v>38.5</v>
      </c>
      <c r="Z58" s="9">
        <v>38.17</v>
      </c>
      <c r="AA58" s="9">
        <v>38.44</v>
      </c>
      <c r="AB58" s="104">
        <v>773500</v>
      </c>
      <c r="AC58" s="9">
        <v>38.229999999999997</v>
      </c>
      <c r="AD58" s="40">
        <f t="shared" si="1"/>
        <v>0.32999999999999829</v>
      </c>
      <c r="AE58" s="162">
        <f t="shared" si="2"/>
        <v>5.2590060478567846E-3</v>
      </c>
    </row>
    <row r="59" spans="1:31" x14ac:dyDescent="0.25">
      <c r="A59" s="22" t="s">
        <v>81</v>
      </c>
      <c r="B59" s="12"/>
      <c r="C59" s="12">
        <f>SUM(C43:C58)</f>
        <v>50</v>
      </c>
      <c r="D59" s="13"/>
      <c r="E59" s="13"/>
      <c r="F59" s="13">
        <f>SUM(F43:F58)</f>
        <v>1559</v>
      </c>
      <c r="G59" s="12"/>
      <c r="H59" s="12">
        <f>SUM(H43:H48)</f>
        <v>50</v>
      </c>
      <c r="I59" s="13"/>
      <c r="J59" s="13"/>
      <c r="K59" s="13">
        <f>SUM(K43:K48)</f>
        <v>1645.96</v>
      </c>
      <c r="L59" s="12"/>
      <c r="M59" s="13">
        <f>SUM(M43:M46)</f>
        <v>17.72</v>
      </c>
      <c r="O59" s="83">
        <v>0.92</v>
      </c>
      <c r="P59" s="83">
        <f t="shared" si="3"/>
        <v>31.307600000000001</v>
      </c>
      <c r="W59" s="110">
        <v>42671</v>
      </c>
      <c r="X59" s="9">
        <v>38.26</v>
      </c>
      <c r="Y59" s="9">
        <v>38.369999999999997</v>
      </c>
      <c r="Z59" s="9">
        <v>37.97</v>
      </c>
      <c r="AA59" s="9">
        <v>38.24</v>
      </c>
      <c r="AB59" s="104">
        <v>828900</v>
      </c>
      <c r="AC59" s="9">
        <v>38.03</v>
      </c>
      <c r="AD59" s="40">
        <f t="shared" si="1"/>
        <v>0.39999999999999858</v>
      </c>
      <c r="AE59" s="162">
        <f t="shared" si="2"/>
        <v>5.8185665167944656E-3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3"/>
        <v>30.967300000000002</v>
      </c>
      <c r="W60" s="110">
        <v>42670</v>
      </c>
      <c r="X60" s="9">
        <v>38</v>
      </c>
      <c r="Y60" s="9">
        <v>38.21</v>
      </c>
      <c r="Z60" s="9">
        <v>37.619999999999997</v>
      </c>
      <c r="AA60" s="9">
        <v>38.020000000000003</v>
      </c>
      <c r="AB60" s="104">
        <v>1738400</v>
      </c>
      <c r="AC60" s="9">
        <v>37.81</v>
      </c>
      <c r="AD60" s="40">
        <f t="shared" si="1"/>
        <v>0.59000000000000341</v>
      </c>
      <c r="AE60" s="162">
        <f t="shared" si="2"/>
        <v>-4.7380889707817619E-3</v>
      </c>
    </row>
    <row r="61" spans="1:31" x14ac:dyDescent="0.25">
      <c r="O61" s="83">
        <v>0.9</v>
      </c>
      <c r="P61" s="83">
        <f t="shared" si="3"/>
        <v>30.627000000000002</v>
      </c>
      <c r="W61" s="110">
        <v>42669</v>
      </c>
      <c r="X61" s="9">
        <v>37.76</v>
      </c>
      <c r="Y61" s="9">
        <v>38.58</v>
      </c>
      <c r="Z61" s="9">
        <v>37.71</v>
      </c>
      <c r="AA61" s="9">
        <v>38.200000000000003</v>
      </c>
      <c r="AB61" s="104">
        <v>1719300</v>
      </c>
      <c r="AC61" s="9">
        <v>37.99</v>
      </c>
      <c r="AD61" s="40">
        <f t="shared" si="1"/>
        <v>0.86999999999999744</v>
      </c>
      <c r="AE61" s="162">
        <f t="shared" si="2"/>
        <v>7.9596710002654003E-3</v>
      </c>
    </row>
    <row r="62" spans="1:31" x14ac:dyDescent="0.25">
      <c r="W62" s="110">
        <v>42668</v>
      </c>
      <c r="X62" s="9">
        <v>37.9</v>
      </c>
      <c r="Y62" s="9">
        <v>38.06</v>
      </c>
      <c r="Z62" s="9">
        <v>37.42</v>
      </c>
      <c r="AA62" s="9">
        <v>37.9</v>
      </c>
      <c r="AB62" s="104">
        <v>1025900</v>
      </c>
      <c r="AC62" s="9">
        <v>37.69</v>
      </c>
      <c r="AD62" s="40">
        <f t="shared" si="1"/>
        <v>0.64000000000000057</v>
      </c>
      <c r="AE62" s="162">
        <f t="shared" si="2"/>
        <v>-2.6462026991267429E-3</v>
      </c>
    </row>
    <row r="63" spans="1:31" x14ac:dyDescent="0.25">
      <c r="W63" s="110">
        <v>42667</v>
      </c>
      <c r="X63" s="9">
        <v>38</v>
      </c>
      <c r="Y63" s="9">
        <v>38.26</v>
      </c>
      <c r="Z63" s="9">
        <v>37.86</v>
      </c>
      <c r="AA63" s="9">
        <v>38</v>
      </c>
      <c r="AB63" s="104">
        <v>542700</v>
      </c>
      <c r="AC63" s="9">
        <v>37.79</v>
      </c>
      <c r="AD63" s="40">
        <f t="shared" si="1"/>
        <v>0.39999999999999858</v>
      </c>
      <c r="AE63" s="162">
        <f t="shared" si="2"/>
        <v>4.5188729399256999E-3</v>
      </c>
    </row>
    <row r="64" spans="1:31" x14ac:dyDescent="0.25">
      <c r="W64" s="110">
        <v>42664</v>
      </c>
      <c r="X64" s="9">
        <v>37.880000000000003</v>
      </c>
      <c r="Y64" s="9">
        <v>37.979999999999997</v>
      </c>
      <c r="Z64" s="9">
        <v>37.65</v>
      </c>
      <c r="AA64" s="9">
        <v>37.83</v>
      </c>
      <c r="AB64" s="104">
        <v>635800</v>
      </c>
      <c r="AC64" s="9">
        <v>37.619999999999997</v>
      </c>
      <c r="AD64" s="40">
        <f t="shared" si="1"/>
        <v>0.32999999999999829</v>
      </c>
      <c r="AE64" s="162">
        <f t="shared" si="2"/>
        <v>-1.8572565667286378E-3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42663</v>
      </c>
      <c r="X65" s="9">
        <v>37.97</v>
      </c>
      <c r="Y65" s="9">
        <v>38.159999999999997</v>
      </c>
      <c r="Z65" s="9">
        <v>37.76</v>
      </c>
      <c r="AA65" s="9">
        <v>37.9</v>
      </c>
      <c r="AB65" s="104">
        <v>846000</v>
      </c>
      <c r="AC65" s="9">
        <v>37.69</v>
      </c>
      <c r="AD65" s="40">
        <f t="shared" si="1"/>
        <v>0.39999999999999858</v>
      </c>
      <c r="AE65" s="162">
        <f t="shared" si="2"/>
        <v>-4.7531027198309816E-3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42662</v>
      </c>
      <c r="X66" s="9">
        <v>37.9</v>
      </c>
      <c r="Y66" s="9">
        <v>38.159999999999997</v>
      </c>
      <c r="Z66" s="9">
        <v>37.75</v>
      </c>
      <c r="AA66" s="9">
        <v>38.08</v>
      </c>
      <c r="AB66" s="104">
        <v>957600</v>
      </c>
      <c r="AC66" s="9">
        <v>37.869999999999997</v>
      </c>
      <c r="AD66" s="40">
        <f t="shared" si="1"/>
        <v>0.40999999999999659</v>
      </c>
      <c r="AE66" s="162">
        <f t="shared" si="2"/>
        <v>1.3220518244314583E-3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42661</v>
      </c>
      <c r="X67" s="9">
        <v>37.49</v>
      </c>
      <c r="Y67" s="9">
        <v>38.17</v>
      </c>
      <c r="Z67" s="9">
        <v>37.43</v>
      </c>
      <c r="AA67" s="9">
        <v>38.03</v>
      </c>
      <c r="AB67" s="104">
        <v>926100</v>
      </c>
      <c r="AC67" s="9">
        <v>37.82</v>
      </c>
      <c r="AD67" s="40">
        <f>Y67-Z67</f>
        <v>0.74000000000000199</v>
      </c>
      <c r="AE67" s="162">
        <f>AC67/AC68-1</f>
        <v>1.1771000535045317E-2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42660</v>
      </c>
      <c r="X68" s="9">
        <v>37.909999999999997</v>
      </c>
      <c r="Y68" s="9">
        <v>38.04</v>
      </c>
      <c r="Z68" s="9">
        <v>37.590000000000003</v>
      </c>
      <c r="AA68" s="9">
        <v>37.590000000000003</v>
      </c>
      <c r="AB68" s="104">
        <v>601500</v>
      </c>
      <c r="AC68" s="9">
        <v>37.380000000000003</v>
      </c>
      <c r="AD68" s="40">
        <f>Y68-Z68</f>
        <v>0.44999999999999574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1" priority="27">
      <formula>F27&gt;0</formula>
    </cfRule>
    <cfRule type="expression" dxfId="8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9" priority="15">
      <formula>Q8&gt;0</formula>
    </cfRule>
    <cfRule type="expression" dxfId="878" priority="16">
      <formula>Q8&lt;0</formula>
    </cfRule>
  </conditionalFormatting>
  <conditionalFormatting sqref="Q7">
    <cfRule type="expression" dxfId="877" priority="17">
      <formula>Q7&gt;0</formula>
    </cfRule>
    <cfRule type="expression" dxfId="876" priority="18">
      <formula>Q7&lt;0</formula>
    </cfRule>
  </conditionalFormatting>
  <conditionalFormatting sqref="F37:F38">
    <cfRule type="expression" dxfId="875" priority="13">
      <formula>F37&gt;0</formula>
    </cfRule>
    <cfRule type="expression" dxfId="874" priority="14">
      <formula>F37&lt;0</formula>
    </cfRule>
  </conditionalFormatting>
  <conditionalFormatting sqref="H37:H38">
    <cfRule type="expression" dxfId="873" priority="11">
      <formula>H37&gt;0</formula>
    </cfRule>
    <cfRule type="expression" dxfId="872" priority="12">
      <formula>H37&lt;0</formula>
    </cfRule>
  </conditionalFormatting>
  <conditionalFormatting sqref="F23:F26 H23:H26">
    <cfRule type="expression" dxfId="871" priority="9">
      <formula>F23&gt;0</formula>
    </cfRule>
    <cfRule type="expression" dxfId="870" priority="10">
      <formula>F23&lt;0</formula>
    </cfRule>
  </conditionalFormatting>
  <conditionalFormatting sqref="Q10">
    <cfRule type="expression" dxfId="869" priority="3">
      <formula>Q10&gt;0</formula>
    </cfRule>
    <cfRule type="expression" dxfId="868" priority="4">
      <formula>Q10&lt;0</formula>
    </cfRule>
  </conditionalFormatting>
  <conditionalFormatting sqref="F22 H22">
    <cfRule type="expression" dxfId="867" priority="1">
      <formula>F22&gt;0</formula>
    </cfRule>
    <cfRule type="expression" dxfId="866" priority="2">
      <formula>F22&lt;0</formula>
    </cfRule>
  </conditionalFormatting>
  <conditionalFormatting sqref="M41">
    <cfRule type="expression" dxfId="865" priority="5">
      <formula>M41&gt;0</formula>
    </cfRule>
    <cfRule type="expression" dxfId="8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324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42755</v>
      </c>
      <c r="X2" s="10">
        <v>55.49</v>
      </c>
      <c r="Y2" s="10">
        <v>55.49</v>
      </c>
      <c r="Z2" s="10">
        <v>48.92</v>
      </c>
      <c r="AA2" s="10">
        <v>49.23</v>
      </c>
      <c r="AB2" s="95">
        <v>76790300</v>
      </c>
      <c r="AC2" s="10">
        <v>49.23</v>
      </c>
      <c r="AD2" s="2">
        <f>Y2-Z2</f>
        <v>6.57</v>
      </c>
      <c r="AE2" s="138">
        <f>AC2/AC3-1</f>
        <v>-0.1128131194809876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51.438000000000002</v>
      </c>
      <c r="T3" s="1"/>
      <c r="W3" s="133">
        <v>42754</v>
      </c>
      <c r="X3" s="10">
        <v>56.1</v>
      </c>
      <c r="Y3" s="10">
        <v>56.31</v>
      </c>
      <c r="Z3" s="10">
        <v>55.34</v>
      </c>
      <c r="AA3" s="10">
        <v>55.49</v>
      </c>
      <c r="AB3" s="95">
        <v>7122300</v>
      </c>
      <c r="AC3" s="10">
        <v>55.49</v>
      </c>
      <c r="AD3" s="2">
        <f t="shared" ref="AD3:AD66" si="0">Y3-Z3</f>
        <v>0.96999999999999886</v>
      </c>
      <c r="AE3" s="138">
        <f t="shared" ref="AE3:AE66" si="1">AC3/AC4-1</f>
        <v>-1.0344212591403612E-2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49.23</v>
      </c>
      <c r="R4" s="505">
        <v>-0.1128</v>
      </c>
      <c r="T4" s="163"/>
      <c r="U4" s="1"/>
      <c r="W4" s="133">
        <v>42753</v>
      </c>
      <c r="X4" s="10">
        <v>56.51</v>
      </c>
      <c r="Y4" s="10">
        <v>56.55</v>
      </c>
      <c r="Z4" s="10">
        <v>55.89</v>
      </c>
      <c r="AA4" s="10">
        <v>56.07</v>
      </c>
      <c r="AB4" s="95">
        <v>6639200</v>
      </c>
      <c r="AC4" s="10">
        <v>56.07</v>
      </c>
      <c r="AD4" s="2">
        <f t="shared" si="0"/>
        <v>0.65999999999999659</v>
      </c>
      <c r="AE4" s="138">
        <f t="shared" si="1"/>
        <v>-3.7313432835821558E-3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4923</v>
      </c>
      <c r="W5" s="133">
        <v>42752</v>
      </c>
      <c r="X5" s="10">
        <v>55.89</v>
      </c>
      <c r="Y5" s="10">
        <v>56.58</v>
      </c>
      <c r="Z5" s="10">
        <v>55.21</v>
      </c>
      <c r="AA5" s="10">
        <v>56.28</v>
      </c>
      <c r="AB5" s="95">
        <v>10416300</v>
      </c>
      <c r="AC5" s="10">
        <v>56.28</v>
      </c>
      <c r="AD5" s="2">
        <f t="shared" si="0"/>
        <v>1.3699999999999974</v>
      </c>
      <c r="AE5" s="138">
        <f t="shared" si="1"/>
        <v>1.0672358591248265E-3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5143.8</v>
      </c>
      <c r="W6" s="133">
        <v>42748</v>
      </c>
      <c r="X6" s="10">
        <v>56.56</v>
      </c>
      <c r="Y6" s="10">
        <v>56.73</v>
      </c>
      <c r="Z6" s="10">
        <v>56.05</v>
      </c>
      <c r="AA6" s="10">
        <v>56.22</v>
      </c>
      <c r="AB6" s="95">
        <v>7660200</v>
      </c>
      <c r="AC6" s="10">
        <v>56.22</v>
      </c>
      <c r="AD6" s="2">
        <f t="shared" si="0"/>
        <v>0.67999999999999972</v>
      </c>
      <c r="AE6" s="138">
        <f t="shared" si="1"/>
        <v>-5.8355437665782439E-3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126.14000000000033</v>
      </c>
      <c r="R7">
        <v>20</v>
      </c>
      <c r="W7" s="133">
        <v>42747</v>
      </c>
      <c r="X7" s="10">
        <v>56.5</v>
      </c>
      <c r="Y7" s="10">
        <v>56.78</v>
      </c>
      <c r="Z7" s="10">
        <v>56.02</v>
      </c>
      <c r="AA7" s="10">
        <v>56.55</v>
      </c>
      <c r="AB7" s="95">
        <v>9977900</v>
      </c>
      <c r="AC7" s="10">
        <v>56.55</v>
      </c>
      <c r="AD7" s="2">
        <f t="shared" si="0"/>
        <v>0.75999999999999801</v>
      </c>
      <c r="AE7" s="138">
        <f t="shared" si="1"/>
        <v>-4.4014084507042472E-3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-220.80000000000018</v>
      </c>
      <c r="W8" s="133">
        <v>42746</v>
      </c>
      <c r="X8" s="10">
        <v>58.12</v>
      </c>
      <c r="Y8" s="10">
        <v>58.87</v>
      </c>
      <c r="Z8" s="10">
        <v>56.53</v>
      </c>
      <c r="AA8" s="10">
        <v>56.8</v>
      </c>
      <c r="AB8" s="95">
        <v>20497900</v>
      </c>
      <c r="AC8" s="10">
        <v>56.8</v>
      </c>
      <c r="AD8" s="2">
        <f t="shared" si="0"/>
        <v>2.3399999999999963</v>
      </c>
      <c r="AE8" s="138">
        <f t="shared" si="1"/>
        <v>-5.3017672557519213E-2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-4.2925463664994785E-2</v>
      </c>
      <c r="W9" s="133">
        <v>42745</v>
      </c>
      <c r="X9" s="10">
        <v>59.78</v>
      </c>
      <c r="Y9" s="10">
        <v>60.45</v>
      </c>
      <c r="Z9" s="10">
        <v>59.72</v>
      </c>
      <c r="AA9" s="10">
        <v>59.98</v>
      </c>
      <c r="AB9" s="95">
        <v>6103700</v>
      </c>
      <c r="AC9" s="10">
        <v>59.98</v>
      </c>
      <c r="AD9" s="2">
        <f t="shared" si="0"/>
        <v>0.73000000000000398</v>
      </c>
      <c r="AE9" s="138">
        <f t="shared" si="1"/>
        <v>4.1855014230705034E-3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346.94000000000051</v>
      </c>
      <c r="W10" s="133">
        <v>42744</v>
      </c>
      <c r="X10" s="10">
        <v>59.75</v>
      </c>
      <c r="Y10" s="10">
        <v>59.92</v>
      </c>
      <c r="Z10" s="10">
        <v>59.65</v>
      </c>
      <c r="AA10" s="10">
        <v>59.73</v>
      </c>
      <c r="AB10" s="95">
        <v>5256500</v>
      </c>
      <c r="AC10" s="10">
        <v>59.73</v>
      </c>
      <c r="AD10" s="2">
        <f t="shared" si="0"/>
        <v>0.27000000000000313</v>
      </c>
      <c r="AE10" s="138">
        <f t="shared" si="1"/>
        <v>-3.6697247706423131E-3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42741</v>
      </c>
      <c r="X11" s="10">
        <v>60.04</v>
      </c>
      <c r="Y11" s="10">
        <v>60.33</v>
      </c>
      <c r="Z11" s="10">
        <v>58.85</v>
      </c>
      <c r="AA11" s="10">
        <v>59.95</v>
      </c>
      <c r="AB11" s="95">
        <v>10104600</v>
      </c>
      <c r="AC11" s="10">
        <v>59.95</v>
      </c>
      <c r="AD11" s="2">
        <f t="shared" si="0"/>
        <v>1.4799999999999969</v>
      </c>
      <c r="AE11" s="138">
        <f t="shared" si="1"/>
        <v>-2.9935140528853932E-3</v>
      </c>
    </row>
    <row r="12" spans="1:31" x14ac:dyDescent="0.25">
      <c r="H12" s="72"/>
      <c r="W12" s="133">
        <v>42740</v>
      </c>
      <c r="X12" s="10">
        <v>59.39</v>
      </c>
      <c r="Y12" s="10">
        <v>60.42</v>
      </c>
      <c r="Z12" s="10">
        <v>59.31</v>
      </c>
      <c r="AA12" s="10">
        <v>60.13</v>
      </c>
      <c r="AB12" s="95">
        <v>8422300</v>
      </c>
      <c r="AC12" s="10">
        <v>60.13</v>
      </c>
      <c r="AD12" s="2">
        <f t="shared" si="0"/>
        <v>1.1099999999999994</v>
      </c>
      <c r="AE12" s="138">
        <f t="shared" si="1"/>
        <v>1.6739939127494052E-2</v>
      </c>
    </row>
    <row r="13" spans="1:31" x14ac:dyDescent="0.25">
      <c r="H13" s="72"/>
      <c r="W13" s="133">
        <v>42739</v>
      </c>
      <c r="X13" s="10">
        <v>59.46</v>
      </c>
      <c r="Y13" s="10">
        <v>59.75</v>
      </c>
      <c r="Z13" s="10">
        <v>59.03</v>
      </c>
      <c r="AA13" s="10">
        <v>59.14</v>
      </c>
      <c r="AB13" s="95">
        <v>6703400</v>
      </c>
      <c r="AC13" s="10">
        <v>59.14</v>
      </c>
      <c r="AD13" s="2">
        <f t="shared" si="0"/>
        <v>0.71999999999999886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409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58.78</v>
      </c>
      <c r="Y15" s="10">
        <v>59.68</v>
      </c>
      <c r="Z15" s="10">
        <v>58.58</v>
      </c>
      <c r="AA15" s="10">
        <v>59.45</v>
      </c>
      <c r="AB15" s="95">
        <v>10061700</v>
      </c>
      <c r="AC15" s="10">
        <v>59.06</v>
      </c>
      <c r="AD15" s="2">
        <f t="shared" si="0"/>
        <v>1.1000000000000014</v>
      </c>
      <c r="AE15" s="138">
        <f t="shared" si="1"/>
        <v>1.7223561832586887E-2</v>
      </c>
    </row>
    <row r="16" spans="1:31" x14ac:dyDescent="0.25">
      <c r="H16" s="72"/>
      <c r="W16" s="133">
        <v>42734</v>
      </c>
      <c r="X16" s="10">
        <v>58.86</v>
      </c>
      <c r="Y16" s="10">
        <v>58.96</v>
      </c>
      <c r="Z16" s="10">
        <v>58.21</v>
      </c>
      <c r="AA16" s="10">
        <v>58.44</v>
      </c>
      <c r="AB16" s="95">
        <v>7008900</v>
      </c>
      <c r="AC16" s="10">
        <v>58.06</v>
      </c>
      <c r="AD16" s="2">
        <f t="shared" si="0"/>
        <v>0.75</v>
      </c>
      <c r="AE16" s="138">
        <f t="shared" si="1"/>
        <v>-7.690992992650747E-3</v>
      </c>
    </row>
    <row r="17" spans="1:31" x14ac:dyDescent="0.25">
      <c r="W17" s="133">
        <v>42733</v>
      </c>
      <c r="X17" s="10">
        <v>58.81</v>
      </c>
      <c r="Y17" s="10">
        <v>59.19</v>
      </c>
      <c r="Z17" s="10">
        <v>58.63</v>
      </c>
      <c r="AA17" s="10">
        <v>58.9</v>
      </c>
      <c r="AB17" s="95">
        <v>3642700</v>
      </c>
      <c r="AC17" s="10">
        <v>58.51</v>
      </c>
      <c r="AD17" s="2">
        <f t="shared" si="0"/>
        <v>0.55999999999999517</v>
      </c>
      <c r="AE17" s="138">
        <f t="shared" si="1"/>
        <v>4.808517946075952E-3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5143.8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59.29</v>
      </c>
      <c r="Y18" s="10">
        <v>59.44</v>
      </c>
      <c r="Z18" s="10">
        <v>58.54</v>
      </c>
      <c r="AA18" s="10">
        <v>58.61</v>
      </c>
      <c r="AB18" s="95">
        <v>4249100</v>
      </c>
      <c r="AC18" s="10">
        <v>58.23</v>
      </c>
      <c r="AD18" s="2">
        <f t="shared" si="0"/>
        <v>0.89999999999999858</v>
      </c>
      <c r="AE18" s="138">
        <f t="shared" si="1"/>
        <v>-1.2046148625721065E-2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59.61</v>
      </c>
      <c r="Y19" s="10">
        <v>59.75</v>
      </c>
      <c r="Z19" s="10">
        <v>59.29</v>
      </c>
      <c r="AA19" s="10">
        <v>59.33</v>
      </c>
      <c r="AB19" s="95">
        <v>4251900</v>
      </c>
      <c r="AC19" s="10">
        <v>58.94</v>
      </c>
      <c r="AD19" s="2">
        <f t="shared" si="0"/>
        <v>0.46000000000000085</v>
      </c>
      <c r="AE19" s="138">
        <f t="shared" si="1"/>
        <v>-4.7281323877068626E-3</v>
      </c>
    </row>
    <row r="20" spans="1:31" x14ac:dyDescent="0.25">
      <c r="W20" s="133">
        <v>42727</v>
      </c>
      <c r="X20" s="10">
        <v>58.85</v>
      </c>
      <c r="Y20" s="10">
        <v>59.93</v>
      </c>
      <c r="Z20" s="10">
        <v>58.77</v>
      </c>
      <c r="AA20" s="10">
        <v>59.61</v>
      </c>
      <c r="AB20" s="95">
        <v>5412800</v>
      </c>
      <c r="AC20" s="10">
        <v>59.22</v>
      </c>
      <c r="AD20" s="2">
        <f t="shared" si="0"/>
        <v>1.1599999999999966</v>
      </c>
      <c r="AE20" s="138">
        <f t="shared" si="1"/>
        <v>1.4562275141339676E-2</v>
      </c>
    </row>
    <row r="21" spans="1:31" x14ac:dyDescent="0.25">
      <c r="W21" s="133">
        <v>42726</v>
      </c>
      <c r="X21" s="10">
        <v>58.74</v>
      </c>
      <c r="Y21" s="10">
        <v>58.98</v>
      </c>
      <c r="Z21" s="10">
        <v>58.52</v>
      </c>
      <c r="AA21" s="10">
        <v>58.76</v>
      </c>
      <c r="AB21" s="95">
        <v>4812000</v>
      </c>
      <c r="AC21" s="10">
        <v>58.37</v>
      </c>
      <c r="AD21" s="2">
        <f t="shared" si="0"/>
        <v>0.45999999999999375</v>
      </c>
      <c r="AE21" s="138">
        <f t="shared" si="1"/>
        <v>1.2006861063464935E-3</v>
      </c>
    </row>
    <row r="22" spans="1:31" x14ac:dyDescent="0.25">
      <c r="W22" s="133">
        <v>42725</v>
      </c>
      <c r="X22" s="10">
        <v>59.23</v>
      </c>
      <c r="Y22" s="10">
        <v>59.58</v>
      </c>
      <c r="Z22" s="10">
        <v>58.68</v>
      </c>
      <c r="AA22" s="10">
        <v>58.69</v>
      </c>
      <c r="AB22" s="95">
        <v>4471200</v>
      </c>
      <c r="AC22" s="10">
        <v>58.3</v>
      </c>
      <c r="AD22" s="2">
        <f t="shared" si="0"/>
        <v>0.89999999999999858</v>
      </c>
      <c r="AE22" s="138">
        <f t="shared" si="1"/>
        <v>-7.3216414098415949E-3</v>
      </c>
    </row>
    <row r="23" spans="1:31" x14ac:dyDescent="0.25">
      <c r="W23" s="133">
        <v>42724</v>
      </c>
      <c r="X23" s="10">
        <v>59.3</v>
      </c>
      <c r="Y23" s="10">
        <v>59.53</v>
      </c>
      <c r="Z23" s="10">
        <v>58.94</v>
      </c>
      <c r="AA23" s="10">
        <v>59.12</v>
      </c>
      <c r="AB23" s="95">
        <v>3918800</v>
      </c>
      <c r="AC23" s="10">
        <v>58.73</v>
      </c>
      <c r="AD23" s="2">
        <f t="shared" si="0"/>
        <v>0.59000000000000341</v>
      </c>
      <c r="AE23" s="138">
        <f t="shared" si="1"/>
        <v>-5.0821616127393332E-3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59.04</v>
      </c>
      <c r="Y24" s="10">
        <v>59.85</v>
      </c>
      <c r="Z24" s="10">
        <v>59.02</v>
      </c>
      <c r="AA24" s="10">
        <v>59.42</v>
      </c>
      <c r="AB24" s="95">
        <v>8399100</v>
      </c>
      <c r="AC24" s="10">
        <v>59.03</v>
      </c>
      <c r="AD24" s="2">
        <f t="shared" si="0"/>
        <v>0.82999999999999829</v>
      </c>
      <c r="AE24" s="138">
        <f t="shared" si="1"/>
        <v>1.3564560439560447E-2</v>
      </c>
    </row>
    <row r="25" spans="1:31" x14ac:dyDescent="0.25">
      <c r="A25" t="s">
        <v>458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42720</v>
      </c>
      <c r="X25" s="10">
        <v>58.92</v>
      </c>
      <c r="Y25" s="10">
        <v>59.05</v>
      </c>
      <c r="Z25" s="10">
        <v>58.2</v>
      </c>
      <c r="AA25" s="10">
        <v>58.62</v>
      </c>
      <c r="AB25" s="95">
        <v>12218200</v>
      </c>
      <c r="AC25" s="10">
        <v>58.24</v>
      </c>
      <c r="AD25" s="2">
        <f t="shared" si="0"/>
        <v>0.84999999999999432</v>
      </c>
      <c r="AE25" s="138">
        <f t="shared" si="1"/>
        <v>-5.1484468851903387E-4</v>
      </c>
    </row>
    <row r="26" spans="1:31" x14ac:dyDescent="0.25">
      <c r="A26" t="s">
        <v>619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55</v>
      </c>
      <c r="W26" s="133">
        <v>42719</v>
      </c>
      <c r="X26" s="10">
        <v>58.51</v>
      </c>
      <c r="Y26" s="10">
        <v>59.8</v>
      </c>
      <c r="Z26" s="10">
        <v>58.28</v>
      </c>
      <c r="AA26" s="10">
        <v>58.65</v>
      </c>
      <c r="AB26" s="95">
        <v>13210800</v>
      </c>
      <c r="AC26" s="10">
        <v>58.27</v>
      </c>
      <c r="AD26" s="2">
        <f t="shared" si="0"/>
        <v>1.519999999999996</v>
      </c>
      <c r="AE26" s="138">
        <f t="shared" si="1"/>
        <v>2.5808671713696274E-3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57.3</v>
      </c>
      <c r="Y27" s="10">
        <v>58.52</v>
      </c>
      <c r="Z27" s="10">
        <v>57.27</v>
      </c>
      <c r="AA27" s="10">
        <v>58.5</v>
      </c>
      <c r="AB27" s="95">
        <v>12603900</v>
      </c>
      <c r="AC27" s="10">
        <v>58.12</v>
      </c>
      <c r="AD27" s="2">
        <f t="shared" si="0"/>
        <v>1.25</v>
      </c>
      <c r="AE27" s="138">
        <f t="shared" si="1"/>
        <v>2.3419616129600307E-2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57</v>
      </c>
      <c r="Y28" s="10">
        <v>57.34</v>
      </c>
      <c r="Z28" s="10">
        <v>56.7</v>
      </c>
      <c r="AA28" s="10">
        <v>57.17</v>
      </c>
      <c r="AB28" s="95">
        <v>6902800</v>
      </c>
      <c r="AC28" s="10">
        <v>56.79</v>
      </c>
      <c r="AD28" s="2">
        <f t="shared" si="0"/>
        <v>0.64000000000000057</v>
      </c>
      <c r="AE28" s="138">
        <f t="shared" si="1"/>
        <v>1.0857956568173677E-2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56.83</v>
      </c>
      <c r="Y29" s="10">
        <v>56.97</v>
      </c>
      <c r="Z29" s="10">
        <v>56.4</v>
      </c>
      <c r="AA29" s="10">
        <v>56.55</v>
      </c>
      <c r="AB29" s="95">
        <v>8829300</v>
      </c>
      <c r="AC29" s="10">
        <v>56.18</v>
      </c>
      <c r="AD29" s="2">
        <f t="shared" si="0"/>
        <v>0.57000000000000028</v>
      </c>
      <c r="AE29" s="138">
        <f t="shared" si="1"/>
        <v>-8.6465502029292596E-3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55.16</v>
      </c>
      <c r="Y30" s="10">
        <v>57.18</v>
      </c>
      <c r="Z30" s="10">
        <v>55.1</v>
      </c>
      <c r="AA30" s="10">
        <v>57.04</v>
      </c>
      <c r="AB30" s="95">
        <v>11782800</v>
      </c>
      <c r="AC30" s="10">
        <v>56.67</v>
      </c>
      <c r="AD30" s="2">
        <f t="shared" si="0"/>
        <v>2.0799999999999983</v>
      </c>
      <c r="AE30" s="138">
        <f t="shared" si="1"/>
        <v>3.2804811372334708E-2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54.93</v>
      </c>
      <c r="Y31" s="10">
        <v>55.42</v>
      </c>
      <c r="Z31" s="10">
        <v>54.78</v>
      </c>
      <c r="AA31" s="10">
        <v>55.23</v>
      </c>
      <c r="AB31" s="95">
        <v>8191200</v>
      </c>
      <c r="AC31" s="10">
        <v>54.87</v>
      </c>
      <c r="AD31" s="2">
        <f t="shared" si="0"/>
        <v>0.64000000000000057</v>
      </c>
      <c r="AE31" s="138">
        <f t="shared" si="1"/>
        <v>-1.8221574344035041E-4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55.55</v>
      </c>
      <c r="Y32" s="10">
        <v>55.68</v>
      </c>
      <c r="Z32" s="10">
        <v>54.36</v>
      </c>
      <c r="AA32" s="10">
        <v>55.24</v>
      </c>
      <c r="AB32" s="95">
        <v>12210800</v>
      </c>
      <c r="AC32" s="10">
        <v>54.88</v>
      </c>
      <c r="AD32" s="2">
        <f t="shared" si="0"/>
        <v>1.3200000000000003</v>
      </c>
      <c r="AE32" s="138">
        <f t="shared" si="1"/>
        <v>-1.4013654329859793E-2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42710</v>
      </c>
      <c r="X33" s="10">
        <v>55.71</v>
      </c>
      <c r="Y33" s="10">
        <v>56.04</v>
      </c>
      <c r="Z33" s="10">
        <v>55.56</v>
      </c>
      <c r="AA33" s="10">
        <v>56.03</v>
      </c>
      <c r="AB33" s="95">
        <v>5924400</v>
      </c>
      <c r="AC33" s="10">
        <v>55.66</v>
      </c>
      <c r="AD33" s="2">
        <f t="shared" si="0"/>
        <v>0.47999999999999687</v>
      </c>
      <c r="AE33" s="138">
        <f t="shared" si="1"/>
        <v>8.5160355136799648E-3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55.86</v>
      </c>
      <c r="Y34" s="10">
        <v>55.96</v>
      </c>
      <c r="Z34" s="10">
        <v>55.23</v>
      </c>
      <c r="AA34" s="10">
        <v>55.55</v>
      </c>
      <c r="AB34" s="95">
        <v>9904400</v>
      </c>
      <c r="AC34" s="10">
        <v>55.19</v>
      </c>
      <c r="AD34" s="2">
        <f t="shared" si="0"/>
        <v>0.73000000000000398</v>
      </c>
      <c r="AE34" s="138">
        <f t="shared" si="1"/>
        <v>-7.195538765965237E-3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55.69</v>
      </c>
      <c r="Y35" s="10">
        <v>56.11</v>
      </c>
      <c r="Z35" s="10">
        <v>55.3</v>
      </c>
      <c r="AA35" s="10">
        <v>55.96</v>
      </c>
      <c r="AB35" s="95">
        <v>9281500</v>
      </c>
      <c r="AC35" s="10">
        <v>55.59</v>
      </c>
      <c r="AD35" s="2">
        <f t="shared" si="0"/>
        <v>0.81000000000000227</v>
      </c>
      <c r="AE35" s="138">
        <f t="shared" si="1"/>
        <v>2.8865235432076197E-3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55.94</v>
      </c>
      <c r="Y36" s="10">
        <v>56.27</v>
      </c>
      <c r="Z36" s="10">
        <v>55.44</v>
      </c>
      <c r="AA36" s="10">
        <v>55.8</v>
      </c>
      <c r="AB36" s="95">
        <v>12719600</v>
      </c>
      <c r="AC36" s="10">
        <v>55.43</v>
      </c>
      <c r="AD36" s="2">
        <f t="shared" si="0"/>
        <v>0.8300000000000054</v>
      </c>
      <c r="AE36" s="138">
        <f t="shared" si="1"/>
        <v>-1.1414303549134974E-2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56.29</v>
      </c>
      <c r="Y37" s="10">
        <v>56.69</v>
      </c>
      <c r="Z37" s="10">
        <v>56</v>
      </c>
      <c r="AA37" s="10">
        <v>56.44</v>
      </c>
      <c r="AB37" s="95">
        <v>16418900</v>
      </c>
      <c r="AC37" s="10">
        <v>56.07</v>
      </c>
      <c r="AD37" s="2">
        <f t="shared" si="0"/>
        <v>0.68999999999999773</v>
      </c>
      <c r="AE37" s="138">
        <f t="shared" si="1"/>
        <v>1.4288265761743801E-3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56.62</v>
      </c>
      <c r="Y38" s="10">
        <v>56.89</v>
      </c>
      <c r="Z38" s="10">
        <v>56.14</v>
      </c>
      <c r="AA38" s="10">
        <v>56.36</v>
      </c>
      <c r="AB38" s="95">
        <v>9818900</v>
      </c>
      <c r="AC38" s="10">
        <v>55.99</v>
      </c>
      <c r="AD38" s="2">
        <f t="shared" si="0"/>
        <v>0.75</v>
      </c>
      <c r="AE38" s="138">
        <f t="shared" si="1"/>
        <v>-2.6718916993231367E-3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56.92</v>
      </c>
      <c r="Y39" s="10">
        <v>56.96</v>
      </c>
      <c r="Z39" s="10">
        <v>56.25</v>
      </c>
      <c r="AA39" s="10">
        <v>56.51</v>
      </c>
      <c r="AB39" s="95">
        <v>8724200</v>
      </c>
      <c r="AC39" s="10">
        <v>56.14</v>
      </c>
      <c r="AD39" s="2">
        <f t="shared" si="0"/>
        <v>0.71000000000000085</v>
      </c>
      <c r="AE39" s="138">
        <f t="shared" si="1"/>
        <v>-8.302420067125893E-3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56.85</v>
      </c>
      <c r="Y40" s="10">
        <v>57.14</v>
      </c>
      <c r="Z40" s="10">
        <v>56.71</v>
      </c>
      <c r="AA40" s="10">
        <v>56.98</v>
      </c>
      <c r="AB40" s="95">
        <v>6228600</v>
      </c>
      <c r="AC40" s="10">
        <v>56.61</v>
      </c>
      <c r="AD40" s="2">
        <f t="shared" si="0"/>
        <v>0.42999999999999972</v>
      </c>
      <c r="AE40" s="138">
        <f t="shared" si="1"/>
        <v>4.0794608017027389E-3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54.152999999999999</v>
      </c>
      <c r="Q41" s="2"/>
      <c r="W41" s="133">
        <v>42697</v>
      </c>
      <c r="X41" s="10">
        <v>56.05</v>
      </c>
      <c r="Y41" s="10">
        <v>56.78</v>
      </c>
      <c r="Z41" s="10">
        <v>55.78</v>
      </c>
      <c r="AA41" s="10">
        <v>56.75</v>
      </c>
      <c r="AB41" s="95">
        <v>10151000</v>
      </c>
      <c r="AC41" s="10">
        <v>56.38</v>
      </c>
      <c r="AD41" s="2">
        <f t="shared" si="0"/>
        <v>1</v>
      </c>
      <c r="AE41" s="138">
        <f t="shared" si="1"/>
        <v>3.5599857600570051E-3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53.660699999999999</v>
      </c>
      <c r="Q42" s="2"/>
      <c r="T42" s="91" t="s">
        <v>113</v>
      </c>
      <c r="W42" s="133">
        <v>42696</v>
      </c>
      <c r="X42" s="10">
        <v>56.66</v>
      </c>
      <c r="Y42" s="10">
        <v>56.9</v>
      </c>
      <c r="Z42" s="10">
        <v>56.26</v>
      </c>
      <c r="AA42" s="10">
        <v>56.55</v>
      </c>
      <c r="AB42" s="95">
        <v>10350000</v>
      </c>
      <c r="AC42" s="10">
        <v>56.18</v>
      </c>
      <c r="AD42" s="2">
        <f t="shared" si="0"/>
        <v>0.64000000000000057</v>
      </c>
      <c r="AE42" s="138">
        <f t="shared" si="1"/>
        <v>-3.1937544357700798E-3</v>
      </c>
    </row>
    <row r="43" spans="1:31" ht="15.75" thickTop="1" x14ac:dyDescent="0.25">
      <c r="O43" s="83">
        <v>1.08</v>
      </c>
      <c r="P43" s="83">
        <f t="shared" si="9"/>
        <v>53.168399999999998</v>
      </c>
      <c r="Q43" s="2"/>
      <c r="T43" s="128" t="s">
        <v>98</v>
      </c>
      <c r="U43" s="129">
        <v>55.49</v>
      </c>
      <c r="V43" s="552"/>
      <c r="W43" s="133">
        <v>42695</v>
      </c>
      <c r="X43" s="10">
        <v>56.71</v>
      </c>
      <c r="Y43" s="10">
        <v>56.85</v>
      </c>
      <c r="Z43" s="10">
        <v>56.4</v>
      </c>
      <c r="AA43" s="10">
        <v>56.73</v>
      </c>
      <c r="AB43" s="95">
        <v>11312300</v>
      </c>
      <c r="AC43" s="10">
        <v>56.36</v>
      </c>
      <c r="AD43" s="2">
        <f t="shared" si="0"/>
        <v>0.45000000000000284</v>
      </c>
      <c r="AE43" s="138">
        <f t="shared" si="1"/>
        <v>-5.3200922149321261E-4</v>
      </c>
    </row>
    <row r="44" spans="1:31" x14ac:dyDescent="0.25">
      <c r="O44" s="83">
        <v>1.07</v>
      </c>
      <c r="P44" s="83">
        <f t="shared" si="9"/>
        <v>52.676099999999998</v>
      </c>
      <c r="Q44" s="2"/>
      <c r="T44" s="93" t="s">
        <v>99</v>
      </c>
      <c r="U44" s="130">
        <v>50.01</v>
      </c>
      <c r="W44" s="133">
        <v>42692</v>
      </c>
      <c r="X44" s="10">
        <v>56.58</v>
      </c>
      <c r="Y44" s="10">
        <v>56.84</v>
      </c>
      <c r="Z44" s="10">
        <v>56.25</v>
      </c>
      <c r="AA44" s="10">
        <v>56.76</v>
      </c>
      <c r="AB44" s="95">
        <v>7387400</v>
      </c>
      <c r="AC44" s="10">
        <v>56.39</v>
      </c>
      <c r="AD44" s="2">
        <f t="shared" si="0"/>
        <v>0.59000000000000341</v>
      </c>
      <c r="AE44" s="138">
        <f t="shared" si="1"/>
        <v>1.4207068016338642E-3</v>
      </c>
    </row>
    <row r="45" spans="1:31" x14ac:dyDescent="0.25">
      <c r="O45" s="83">
        <v>1.06</v>
      </c>
      <c r="P45" s="83">
        <f t="shared" si="9"/>
        <v>52.183799999999998</v>
      </c>
      <c r="Q45" s="2"/>
      <c r="T45" s="93" t="s">
        <v>100</v>
      </c>
      <c r="U45" s="130" t="s">
        <v>129</v>
      </c>
      <c r="W45" s="133">
        <v>42691</v>
      </c>
      <c r="X45" s="10">
        <v>56.75</v>
      </c>
      <c r="Y45" s="10">
        <v>57.1</v>
      </c>
      <c r="Z45" s="10">
        <v>56.06</v>
      </c>
      <c r="AA45" s="10">
        <v>56.68</v>
      </c>
      <c r="AB45" s="95">
        <v>6820500</v>
      </c>
      <c r="AC45" s="10">
        <v>56.31</v>
      </c>
      <c r="AD45" s="2">
        <f t="shared" si="0"/>
        <v>1.0399999999999991</v>
      </c>
      <c r="AE45" s="138">
        <f t="shared" si="1"/>
        <v>8.5975282106394157E-3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9"/>
        <v>51.691499999999998</v>
      </c>
      <c r="Q46" s="2"/>
      <c r="T46" s="93" t="s">
        <v>101</v>
      </c>
      <c r="U46" s="130" t="s">
        <v>129</v>
      </c>
      <c r="W46" s="133">
        <v>42690</v>
      </c>
      <c r="X46" s="10">
        <v>56.7</v>
      </c>
      <c r="Y46" s="10">
        <v>56.72</v>
      </c>
      <c r="Z46" s="10">
        <v>55.93</v>
      </c>
      <c r="AA46" s="10">
        <v>56.2</v>
      </c>
      <c r="AB46" s="95">
        <v>8935500</v>
      </c>
      <c r="AC46" s="10">
        <v>55.83</v>
      </c>
      <c r="AD46" s="2">
        <f t="shared" si="0"/>
        <v>0.78999999999999915</v>
      </c>
      <c r="AE46" s="138">
        <f t="shared" si="1"/>
        <v>-8.7002840909091717E-3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9"/>
        <v>51.199199999999998</v>
      </c>
      <c r="Q47" s="2"/>
      <c r="T47" s="93" t="s">
        <v>102</v>
      </c>
      <c r="U47" s="130">
        <v>60.46</v>
      </c>
      <c r="W47" s="133">
        <v>42689</v>
      </c>
      <c r="X47" s="10">
        <v>56.73</v>
      </c>
      <c r="Y47" s="10">
        <v>56.79</v>
      </c>
      <c r="Z47" s="10">
        <v>55.76</v>
      </c>
      <c r="AA47" s="10">
        <v>56.69</v>
      </c>
      <c r="AB47" s="95">
        <v>9312800</v>
      </c>
      <c r="AC47" s="10">
        <v>56.32</v>
      </c>
      <c r="AD47" s="2">
        <f t="shared" si="0"/>
        <v>1.0300000000000011</v>
      </c>
      <c r="AE47" s="138">
        <f t="shared" si="1"/>
        <v>2.3135789286350406E-3</v>
      </c>
    </row>
    <row r="48" spans="1:31" x14ac:dyDescent="0.25">
      <c r="A48" s="390" t="s">
        <v>324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9"/>
        <v>50.706899999999997</v>
      </c>
      <c r="Q48" s="2"/>
      <c r="T48" s="93" t="s">
        <v>103</v>
      </c>
      <c r="U48" s="130">
        <v>0.97931100000000004</v>
      </c>
      <c r="W48" s="133">
        <v>42688</v>
      </c>
      <c r="X48" s="10">
        <v>56.66</v>
      </c>
      <c r="Y48" s="10">
        <v>56.85</v>
      </c>
      <c r="Z48" s="10">
        <v>56.02</v>
      </c>
      <c r="AA48" s="10">
        <v>56.56</v>
      </c>
      <c r="AB48" s="95">
        <v>7234900</v>
      </c>
      <c r="AC48" s="10">
        <v>56.19</v>
      </c>
      <c r="AD48" s="2">
        <f t="shared" si="0"/>
        <v>0.82999999999999829</v>
      </c>
      <c r="AE48" s="138">
        <f t="shared" si="1"/>
        <v>3.3928571428571974E-3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9"/>
        <v>50.214599999999997</v>
      </c>
      <c r="Q49" s="2"/>
      <c r="T49" s="93" t="s">
        <v>104</v>
      </c>
      <c r="U49" s="130" t="s">
        <v>361</v>
      </c>
      <c r="W49" s="133">
        <v>42685</v>
      </c>
      <c r="X49" s="10">
        <v>56.31</v>
      </c>
      <c r="Y49" s="10">
        <v>56.73</v>
      </c>
      <c r="Z49" s="10">
        <v>55.88</v>
      </c>
      <c r="AA49" s="10">
        <v>56.37</v>
      </c>
      <c r="AB49" s="95">
        <v>12438300</v>
      </c>
      <c r="AC49" s="10">
        <v>56</v>
      </c>
      <c r="AD49" s="2">
        <f t="shared" si="0"/>
        <v>0.84999999999999432</v>
      </c>
      <c r="AE49" s="138">
        <f t="shared" si="1"/>
        <v>-5.1518919879196545E-3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9"/>
        <v>49.722299999999997</v>
      </c>
      <c r="Q50" s="2"/>
      <c r="T50" s="93"/>
      <c r="U50" s="130"/>
      <c r="W50" s="133">
        <v>42684</v>
      </c>
      <c r="X50" s="10">
        <v>57</v>
      </c>
      <c r="Y50" s="10">
        <v>57.55</v>
      </c>
      <c r="Z50" s="10">
        <v>56.22</v>
      </c>
      <c r="AA50" s="10">
        <v>56.66</v>
      </c>
      <c r="AB50" s="95">
        <v>17744300</v>
      </c>
      <c r="AC50" s="10">
        <v>56.29</v>
      </c>
      <c r="AD50" s="2">
        <f t="shared" si="0"/>
        <v>1.3299999999999983</v>
      </c>
      <c r="AE50" s="138">
        <f t="shared" si="1"/>
        <v>6.4366172000716038E-3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9"/>
        <v>49.23</v>
      </c>
      <c r="Q51" s="2"/>
      <c r="T51" s="93" t="s">
        <v>105</v>
      </c>
      <c r="U51" s="130" t="s">
        <v>492</v>
      </c>
      <c r="W51" s="133">
        <v>42683</v>
      </c>
      <c r="X51" s="10">
        <v>55.25</v>
      </c>
      <c r="Y51" s="10">
        <v>57.3</v>
      </c>
      <c r="Z51" s="10">
        <v>54.9</v>
      </c>
      <c r="AA51" s="10">
        <v>56.3</v>
      </c>
      <c r="AB51" s="95">
        <v>28681000</v>
      </c>
      <c r="AC51" s="10">
        <v>55.93</v>
      </c>
      <c r="AD51" s="2">
        <f t="shared" si="0"/>
        <v>2.3999999999999986</v>
      </c>
      <c r="AE51" s="138">
        <f t="shared" si="1"/>
        <v>5.9079719750047222E-2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9"/>
        <v>48.737699999999997</v>
      </c>
      <c r="Q52" s="2"/>
      <c r="T52" s="93" t="s">
        <v>106</v>
      </c>
      <c r="U52" s="130" t="s">
        <v>493</v>
      </c>
      <c r="W52" s="133">
        <v>42682</v>
      </c>
      <c r="X52" s="10">
        <v>52.29</v>
      </c>
      <c r="Y52" s="10">
        <v>53.34</v>
      </c>
      <c r="Z52" s="10">
        <v>52.02</v>
      </c>
      <c r="AA52" s="10">
        <v>53.16</v>
      </c>
      <c r="AB52" s="95">
        <v>10094000</v>
      </c>
      <c r="AC52" s="10">
        <v>52.81</v>
      </c>
      <c r="AD52" s="2">
        <f t="shared" si="0"/>
        <v>1.3200000000000003</v>
      </c>
      <c r="AE52" s="138">
        <f t="shared" si="1"/>
        <v>1.0330973789936859E-2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9"/>
        <v>48.245399999999997</v>
      </c>
      <c r="Q53" s="2"/>
      <c r="T53" s="93" t="s">
        <v>107</v>
      </c>
      <c r="U53" s="131">
        <v>77021216</v>
      </c>
      <c r="W53" s="133">
        <v>42681</v>
      </c>
      <c r="X53" s="10">
        <v>51.7</v>
      </c>
      <c r="Y53" s="10">
        <v>53.1</v>
      </c>
      <c r="Z53" s="10">
        <v>51.59</v>
      </c>
      <c r="AA53" s="10">
        <v>52.62</v>
      </c>
      <c r="AB53" s="95">
        <v>12825300</v>
      </c>
      <c r="AC53" s="10">
        <v>52.27</v>
      </c>
      <c r="AD53" s="2">
        <f t="shared" si="0"/>
        <v>1.509999999999998</v>
      </c>
      <c r="AE53" s="138">
        <f t="shared" si="1"/>
        <v>3.1373322809786997E-2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9"/>
        <v>47.753099999999996</v>
      </c>
      <c r="T54" s="93" t="s">
        <v>110</v>
      </c>
      <c r="U54" s="131">
        <v>11146700</v>
      </c>
      <c r="W54" s="133">
        <v>42678</v>
      </c>
      <c r="X54" s="10">
        <v>50.5</v>
      </c>
      <c r="Y54" s="10">
        <v>51.45</v>
      </c>
      <c r="Z54" s="10">
        <v>50.46</v>
      </c>
      <c r="AA54" s="10">
        <v>51.01</v>
      </c>
      <c r="AB54" s="95">
        <v>12818000</v>
      </c>
      <c r="AC54" s="10">
        <v>50.68</v>
      </c>
      <c r="AD54" s="2">
        <f t="shared" si="0"/>
        <v>0.99000000000000199</v>
      </c>
      <c r="AE54" s="138">
        <f t="shared" si="1"/>
        <v>1.6038492381716063E-2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9"/>
        <v>47.260799999999996</v>
      </c>
      <c r="T55" s="93" t="s">
        <v>108</v>
      </c>
      <c r="U55" s="130" t="s">
        <v>494</v>
      </c>
      <c r="W55" s="133">
        <v>42677</v>
      </c>
      <c r="X55" s="10">
        <v>50.51</v>
      </c>
      <c r="Y55" s="10">
        <v>50.88</v>
      </c>
      <c r="Z55" s="10">
        <v>50.1</v>
      </c>
      <c r="AA55" s="10">
        <v>50.21</v>
      </c>
      <c r="AB55" s="95">
        <v>14924800</v>
      </c>
      <c r="AC55" s="10">
        <v>49.88</v>
      </c>
      <c r="AD55" s="2">
        <f t="shared" si="0"/>
        <v>0.78000000000000114</v>
      </c>
      <c r="AE55" s="138">
        <f t="shared" si="1"/>
        <v>-7.1656050955414274E-3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9"/>
        <v>46.768499999999996</v>
      </c>
      <c r="T56" s="93" t="s">
        <v>111</v>
      </c>
      <c r="U56" s="130">
        <v>24.63</v>
      </c>
      <c r="W56" s="133">
        <v>42676</v>
      </c>
      <c r="X56" s="10">
        <v>50.93</v>
      </c>
      <c r="Y56" s="10">
        <v>50.98</v>
      </c>
      <c r="Z56" s="10">
        <v>50.53</v>
      </c>
      <c r="AA56" s="10">
        <v>50.57</v>
      </c>
      <c r="AB56" s="95">
        <v>8197300</v>
      </c>
      <c r="AC56" s="10">
        <v>50.24</v>
      </c>
      <c r="AD56" s="2">
        <f t="shared" si="0"/>
        <v>0.44999999999999574</v>
      </c>
      <c r="AE56" s="138">
        <f t="shared" si="1"/>
        <v>-4.5571626708935664E-3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9"/>
        <v>46.276199999999996</v>
      </c>
      <c r="T57" s="93" t="s">
        <v>112</v>
      </c>
      <c r="U57" s="130">
        <v>2</v>
      </c>
      <c r="W57" s="133">
        <v>42675</v>
      </c>
      <c r="X57" s="10">
        <v>50.93</v>
      </c>
      <c r="Y57" s="10">
        <v>51.36</v>
      </c>
      <c r="Z57" s="10">
        <v>50.38</v>
      </c>
      <c r="AA57" s="10">
        <v>50.8</v>
      </c>
      <c r="AB57" s="95">
        <v>8740800</v>
      </c>
      <c r="AC57" s="10">
        <v>50.47</v>
      </c>
      <c r="AD57" s="2">
        <f t="shared" si="0"/>
        <v>0.97999999999999687</v>
      </c>
      <c r="AE57" s="138">
        <f t="shared" si="1"/>
        <v>-2.1747726374060639E-3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9"/>
        <v>45.783900000000003</v>
      </c>
      <c r="T58" s="93" t="s">
        <v>109</v>
      </c>
      <c r="U58" s="130" t="s">
        <v>495</v>
      </c>
      <c r="W58" s="133">
        <v>42674</v>
      </c>
      <c r="X58" s="10">
        <v>51.05</v>
      </c>
      <c r="Y58" s="10">
        <v>51.62</v>
      </c>
      <c r="Z58" s="10">
        <v>50.65</v>
      </c>
      <c r="AA58" s="10">
        <v>50.91</v>
      </c>
      <c r="AB58" s="95">
        <v>11326200</v>
      </c>
      <c r="AC58" s="10">
        <v>50.58</v>
      </c>
      <c r="AD58" s="2">
        <f t="shared" si="0"/>
        <v>0.96999999999999886</v>
      </c>
      <c r="AE58" s="138">
        <f t="shared" si="1"/>
        <v>-1.776198934280715E-3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9"/>
        <v>45.291600000000003</v>
      </c>
      <c r="W59" s="133">
        <v>42671</v>
      </c>
      <c r="X59" s="10">
        <v>52.11</v>
      </c>
      <c r="Y59" s="10">
        <v>52.22</v>
      </c>
      <c r="Z59" s="10">
        <v>50.66</v>
      </c>
      <c r="AA59" s="10">
        <v>51</v>
      </c>
      <c r="AB59" s="95">
        <v>13798700</v>
      </c>
      <c r="AC59" s="10">
        <v>50.67</v>
      </c>
      <c r="AD59" s="2">
        <f t="shared" si="0"/>
        <v>1.5600000000000023</v>
      </c>
      <c r="AE59" s="138">
        <f t="shared" si="1"/>
        <v>-1.8403719488570225E-2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9"/>
        <v>44.799299999999995</v>
      </c>
      <c r="W60" s="133">
        <v>42670</v>
      </c>
      <c r="X60" s="10">
        <v>52.42</v>
      </c>
      <c r="Y60" s="10">
        <v>53.17</v>
      </c>
      <c r="Z60" s="10">
        <v>50.66</v>
      </c>
      <c r="AA60" s="10">
        <v>51.96</v>
      </c>
      <c r="AB60" s="95">
        <v>31896700</v>
      </c>
      <c r="AC60" s="10">
        <v>51.62</v>
      </c>
      <c r="AD60" s="2">
        <f t="shared" si="0"/>
        <v>2.5100000000000051</v>
      </c>
      <c r="AE60" s="138">
        <f t="shared" si="1"/>
        <v>5.4114764141310889E-2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9"/>
        <v>44.306999999999995</v>
      </c>
      <c r="W61" s="133">
        <v>42669</v>
      </c>
      <c r="X61" s="10">
        <v>49.58</v>
      </c>
      <c r="Y61" s="10">
        <v>49.76</v>
      </c>
      <c r="Z61" s="10">
        <v>49.07</v>
      </c>
      <c r="AA61" s="10">
        <v>49.29</v>
      </c>
      <c r="AB61" s="95">
        <v>8331100</v>
      </c>
      <c r="AC61" s="10">
        <v>48.97</v>
      </c>
      <c r="AD61" s="2">
        <f t="shared" si="0"/>
        <v>0.68999999999999773</v>
      </c>
      <c r="AE61" s="138">
        <f t="shared" si="1"/>
        <v>-5.0792360828931793E-3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49.22</v>
      </c>
      <c r="Y62" s="10">
        <v>50.13</v>
      </c>
      <c r="Z62" s="10">
        <v>49.03</v>
      </c>
      <c r="AA62" s="10">
        <v>49.55</v>
      </c>
      <c r="AB62" s="95">
        <v>10212800</v>
      </c>
      <c r="AC62" s="10">
        <v>49.22</v>
      </c>
      <c r="AD62" s="2">
        <f t="shared" si="0"/>
        <v>1.1000000000000014</v>
      </c>
      <c r="AE62" s="138">
        <f t="shared" si="1"/>
        <v>6.3381721529340851E-3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42667</v>
      </c>
      <c r="X63" s="10">
        <v>50.11</v>
      </c>
      <c r="Y63" s="10">
        <v>50.17</v>
      </c>
      <c r="Z63" s="10">
        <v>49.04</v>
      </c>
      <c r="AA63" s="10">
        <v>49.23</v>
      </c>
      <c r="AB63" s="95">
        <v>12107600</v>
      </c>
      <c r="AC63" s="10">
        <v>48.91</v>
      </c>
      <c r="AD63" s="2">
        <f t="shared" si="0"/>
        <v>1.1300000000000026</v>
      </c>
      <c r="AE63" s="138">
        <f t="shared" si="1"/>
        <v>-1.5697323405111763E-2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42664</v>
      </c>
      <c r="X64" s="10">
        <v>50.11</v>
      </c>
      <c r="Y64" s="10">
        <v>50.45</v>
      </c>
      <c r="Z64" s="10">
        <v>49.88</v>
      </c>
      <c r="AA64" s="10">
        <v>50.02</v>
      </c>
      <c r="AB64" s="95">
        <v>8558700</v>
      </c>
      <c r="AC64" s="10">
        <v>49.69</v>
      </c>
      <c r="AD64" s="2">
        <f t="shared" si="0"/>
        <v>0.57000000000000028</v>
      </c>
      <c r="AE64" s="138">
        <f t="shared" si="1"/>
        <v>-6.7959224465321544E-3</v>
      </c>
    </row>
    <row r="65" spans="1:31" ht="15.75" thickBot="1" x14ac:dyDescent="0.3">
      <c r="A65" s="472" t="s">
        <v>199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0">SumByColor($A$19,M48:M63)</f>
        <v>0</v>
      </c>
      <c r="W65" s="133">
        <v>42663</v>
      </c>
      <c r="X65" s="10">
        <v>49.81</v>
      </c>
      <c r="Y65" s="10">
        <v>50.48</v>
      </c>
      <c r="Z65" s="10">
        <v>49.76</v>
      </c>
      <c r="AA65" s="10">
        <v>50.36</v>
      </c>
      <c r="AB65" s="95">
        <v>9310200</v>
      </c>
      <c r="AC65" s="10">
        <v>50.03</v>
      </c>
      <c r="AD65" s="2">
        <f t="shared" si="0"/>
        <v>0.71999999999999886</v>
      </c>
      <c r="AE65" s="138">
        <f t="shared" si="1"/>
        <v>9.8909971740008817E-3</v>
      </c>
    </row>
    <row r="66" spans="1:31" x14ac:dyDescent="0.25">
      <c r="W66" s="133">
        <v>42662</v>
      </c>
      <c r="X66" s="10">
        <v>49.95</v>
      </c>
      <c r="Y66" s="10">
        <v>50.18</v>
      </c>
      <c r="Z66" s="10">
        <v>49.8</v>
      </c>
      <c r="AA66" s="10">
        <v>49.87</v>
      </c>
      <c r="AB66" s="95">
        <v>7636200</v>
      </c>
      <c r="AC66" s="10">
        <v>49.54</v>
      </c>
      <c r="AD66" s="2">
        <f t="shared" si="0"/>
        <v>0.38000000000000256</v>
      </c>
      <c r="AE66" s="138">
        <f t="shared" si="1"/>
        <v>-3.6202735317779622E-3</v>
      </c>
    </row>
    <row r="67" spans="1:31" x14ac:dyDescent="0.25">
      <c r="W67" s="133">
        <v>42661</v>
      </c>
      <c r="X67" s="10">
        <v>49.48</v>
      </c>
      <c r="Y67" s="10">
        <v>50.35</v>
      </c>
      <c r="Z67" s="10">
        <v>49.34</v>
      </c>
      <c r="AA67" s="10">
        <v>50.05</v>
      </c>
      <c r="AB67" s="95">
        <v>8773300</v>
      </c>
      <c r="AC67" s="10">
        <v>49.72</v>
      </c>
      <c r="AD67" s="2">
        <f>Y67-Z67</f>
        <v>1.009999999999998</v>
      </c>
      <c r="AE67" s="138" t="e">
        <f>AC67/#REF!-1</f>
        <v>#REF!</v>
      </c>
    </row>
    <row r="68" spans="1:31" x14ac:dyDescent="0.25">
      <c r="W68" s="133">
        <v>42660</v>
      </c>
      <c r="X68" s="10">
        <v>49.69</v>
      </c>
      <c r="Y68" s="10">
        <v>49.79</v>
      </c>
      <c r="Z68" s="10">
        <v>49.1</v>
      </c>
      <c r="AA68" s="10">
        <v>49.34</v>
      </c>
      <c r="AB68" s="95">
        <v>11578000</v>
      </c>
      <c r="AC68" s="10">
        <v>49.02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3" priority="19">
      <formula>F34&gt;0</formula>
    </cfRule>
    <cfRule type="expression" dxfId="862" priority="20">
      <formula>F34&lt;0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7:F33">
    <cfRule type="expression" dxfId="857" priority="13">
      <formula>F27&gt;0</formula>
    </cfRule>
    <cfRule type="expression" dxfId="856" priority="14">
      <formula>F27&lt;0</formula>
    </cfRule>
  </conditionalFormatting>
  <conditionalFormatting sqref="H27:H33">
    <cfRule type="expression" dxfId="855" priority="11">
      <formula>H27&gt;0</formula>
    </cfRule>
    <cfRule type="expression" dxfId="854" priority="12">
      <formula>H27&lt;0</formula>
    </cfRule>
  </conditionalFormatting>
  <conditionalFormatting sqref="F25:F26">
    <cfRule type="expression" dxfId="853" priority="7">
      <formula>F25&gt;0</formula>
    </cfRule>
    <cfRule type="expression" dxfId="852" priority="8">
      <formula>F25&lt;0</formula>
    </cfRule>
  </conditionalFormatting>
  <conditionalFormatting sqref="H25:H26">
    <cfRule type="expression" dxfId="851" priority="5">
      <formula>H25&gt;0</formula>
    </cfRule>
    <cfRule type="expression" dxfId="850" priority="6">
      <formula>H25&lt;0</formula>
    </cfRule>
  </conditionalFormatting>
  <conditionalFormatting sqref="Q10">
    <cfRule type="expression" dxfId="849" priority="3">
      <formula>Q10&gt;0</formula>
    </cfRule>
    <cfRule type="expression" dxfId="848" priority="4">
      <formula>Q10&lt;0</formula>
    </cfRule>
  </conditionalFormatting>
  <conditionalFormatting sqref="M46">
    <cfRule type="expression" dxfId="847" priority="1">
      <formula>M46&gt;0</formula>
    </cfRule>
    <cfRule type="expression" dxfId="84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69.36</v>
      </c>
      <c r="Y2" s="10">
        <v>69.599999999999994</v>
      </c>
      <c r="Z2" s="10">
        <v>68.849999999999994</v>
      </c>
      <c r="AA2" s="10">
        <v>69.150000000000006</v>
      </c>
      <c r="AB2" s="95">
        <v>1434900</v>
      </c>
      <c r="AC2" s="10">
        <v>69.150000000000006</v>
      </c>
      <c r="AD2" s="2">
        <f>Y2-Z2</f>
        <v>0.75</v>
      </c>
      <c r="AE2" s="138">
        <f>AC2/AC3-1</f>
        <v>2.4644824586836922E-3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69.150000000000006</v>
      </c>
      <c r="T3" s="1"/>
      <c r="W3" s="133">
        <v>42754</v>
      </c>
      <c r="X3" s="10">
        <v>69.36</v>
      </c>
      <c r="Y3" s="10">
        <v>69.739999999999995</v>
      </c>
      <c r="Z3" s="10">
        <v>68.959999999999994</v>
      </c>
      <c r="AA3" s="10">
        <v>68.98</v>
      </c>
      <c r="AB3" s="95">
        <v>1409700</v>
      </c>
      <c r="AC3" s="10">
        <v>68.98</v>
      </c>
      <c r="AD3" s="2">
        <f t="shared" ref="AD3:AD66" si="0">Y3-Z3</f>
        <v>0.78000000000000114</v>
      </c>
      <c r="AE3" s="138">
        <f t="shared" ref="AE3:AE66" si="1">AC3/AC4-1</f>
        <v>-8.9080459770113363E-3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69.150000000000006</v>
      </c>
      <c r="R4" s="505">
        <v>2.5000000000000001E-3</v>
      </c>
      <c r="T4" s="163"/>
      <c r="U4" s="1"/>
      <c r="W4" s="133">
        <v>42753</v>
      </c>
      <c r="X4" s="10">
        <v>69.739999999999995</v>
      </c>
      <c r="Y4" s="10">
        <v>69.81</v>
      </c>
      <c r="Z4" s="10">
        <v>68.94</v>
      </c>
      <c r="AA4" s="10">
        <v>69.599999999999994</v>
      </c>
      <c r="AB4" s="95">
        <v>1071500</v>
      </c>
      <c r="AC4" s="10">
        <v>69.599999999999994</v>
      </c>
      <c r="AD4" s="2">
        <f t="shared" si="0"/>
        <v>0.87000000000000455</v>
      </c>
      <c r="AE4" s="138">
        <f t="shared" si="1"/>
        <v>-2.7224530735063812E-3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69.81</v>
      </c>
      <c r="Y5" s="10">
        <v>70</v>
      </c>
      <c r="Z5" s="10">
        <v>69.180000000000007</v>
      </c>
      <c r="AA5" s="10">
        <v>69.790000000000006</v>
      </c>
      <c r="AB5" s="95">
        <v>1011100</v>
      </c>
      <c r="AC5" s="10">
        <v>69.790000000000006</v>
      </c>
      <c r="AD5" s="2">
        <f t="shared" si="0"/>
        <v>0.81999999999999318</v>
      </c>
      <c r="AE5" s="138">
        <f t="shared" si="1"/>
        <v>-3.2847757783488474E-3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70.23</v>
      </c>
      <c r="Y6" s="10">
        <v>70.42</v>
      </c>
      <c r="Z6" s="10">
        <v>69.86</v>
      </c>
      <c r="AA6" s="10">
        <v>70.02</v>
      </c>
      <c r="AB6" s="95">
        <v>1475000</v>
      </c>
      <c r="AC6" s="10">
        <v>70.02</v>
      </c>
      <c r="AD6" s="2">
        <f t="shared" si="0"/>
        <v>0.56000000000000227</v>
      </c>
      <c r="AE6" s="138">
        <f t="shared" si="1"/>
        <v>1.2870012870012104E-3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42747</v>
      </c>
      <c r="X7" s="10">
        <v>70.010000000000005</v>
      </c>
      <c r="Y7" s="10">
        <v>70.3</v>
      </c>
      <c r="Z7" s="10">
        <v>69.150000000000006</v>
      </c>
      <c r="AA7" s="10">
        <v>69.930000000000007</v>
      </c>
      <c r="AB7" s="95">
        <v>1259700</v>
      </c>
      <c r="AC7" s="10">
        <v>69.930000000000007</v>
      </c>
      <c r="AD7" s="2">
        <f t="shared" si="0"/>
        <v>1.1499999999999915</v>
      </c>
      <c r="AE7" s="138">
        <f t="shared" si="1"/>
        <v>-2.7096406160866948E-3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70.59</v>
      </c>
      <c r="Y8" s="10">
        <v>71.64</v>
      </c>
      <c r="Z8" s="10">
        <v>70.09</v>
      </c>
      <c r="AA8" s="10">
        <v>70.12</v>
      </c>
      <c r="AB8" s="95">
        <v>2247200</v>
      </c>
      <c r="AC8" s="10">
        <v>70.12</v>
      </c>
      <c r="AD8" s="2">
        <f t="shared" si="0"/>
        <v>1.5499999999999972</v>
      </c>
      <c r="AE8" s="138">
        <f t="shared" si="1"/>
        <v>-2.2766078542970636E-3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W9" s="133">
        <v>42745</v>
      </c>
      <c r="X9" s="10">
        <v>70</v>
      </c>
      <c r="Y9" s="10">
        <v>70.48</v>
      </c>
      <c r="Z9" s="10">
        <v>69.819999999999993</v>
      </c>
      <c r="AA9" s="10">
        <v>70.28</v>
      </c>
      <c r="AB9" s="95">
        <v>1458300</v>
      </c>
      <c r="AC9" s="10">
        <v>70.28</v>
      </c>
      <c r="AD9" s="2">
        <f t="shared" si="0"/>
        <v>0.6600000000000108</v>
      </c>
      <c r="AE9" s="138">
        <f t="shared" si="1"/>
        <v>4.0000000000000036E-3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92.650000000000091</v>
      </c>
      <c r="W10" s="133">
        <v>42744</v>
      </c>
      <c r="X10" s="10">
        <v>69.739999999999995</v>
      </c>
      <c r="Y10" s="10">
        <v>70.290000000000006</v>
      </c>
      <c r="Z10" s="10">
        <v>69.7</v>
      </c>
      <c r="AA10" s="10">
        <v>70</v>
      </c>
      <c r="AB10" s="95">
        <v>1550300</v>
      </c>
      <c r="AC10" s="10">
        <v>70</v>
      </c>
      <c r="AD10" s="2">
        <f t="shared" si="0"/>
        <v>0.59000000000000341</v>
      </c>
      <c r="AE10" s="138">
        <f t="shared" si="1"/>
        <v>3.0090270812437314E-3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69.38</v>
      </c>
      <c r="Y11" s="10">
        <v>70.510000000000005</v>
      </c>
      <c r="Z11" s="10">
        <v>68.92</v>
      </c>
      <c r="AA11" s="10">
        <v>69.790000000000006</v>
      </c>
      <c r="AB11" s="95">
        <v>1967300</v>
      </c>
      <c r="AC11" s="10">
        <v>69.790000000000006</v>
      </c>
      <c r="AD11" s="2">
        <f t="shared" si="0"/>
        <v>1.5900000000000034</v>
      </c>
      <c r="AE11" s="138">
        <f t="shared" si="1"/>
        <v>3.4507548526241383E-3</v>
      </c>
    </row>
    <row r="12" spans="1:31" x14ac:dyDescent="0.25">
      <c r="H12" s="72"/>
      <c r="W12" s="133">
        <v>42740</v>
      </c>
      <c r="X12" s="10">
        <v>68.12</v>
      </c>
      <c r="Y12" s="10">
        <v>69.75</v>
      </c>
      <c r="Z12" s="10">
        <v>68.12</v>
      </c>
      <c r="AA12" s="10">
        <v>69.55</v>
      </c>
      <c r="AB12" s="95">
        <v>1779800</v>
      </c>
      <c r="AC12" s="10">
        <v>69.55</v>
      </c>
      <c r="AD12" s="2">
        <f t="shared" si="0"/>
        <v>1.6299999999999955</v>
      </c>
      <c r="AE12" s="138">
        <f t="shared" si="1"/>
        <v>1.7854529489243376E-2</v>
      </c>
    </row>
    <row r="13" spans="1:31" x14ac:dyDescent="0.25">
      <c r="H13" s="72"/>
      <c r="W13" s="133">
        <v>42739</v>
      </c>
      <c r="X13" s="10">
        <v>67.510000000000005</v>
      </c>
      <c r="Y13" s="10">
        <v>68.47</v>
      </c>
      <c r="Z13" s="10">
        <v>67.19</v>
      </c>
      <c r="AA13" s="10">
        <v>68.33</v>
      </c>
      <c r="AB13" s="95">
        <v>1171000</v>
      </c>
      <c r="AC13" s="10">
        <v>68.33</v>
      </c>
      <c r="AD13" s="2">
        <f t="shared" si="0"/>
        <v>1.2800000000000011</v>
      </c>
      <c r="AE13" s="138">
        <f t="shared" si="1"/>
        <v>1.1247595086576911E-2</v>
      </c>
    </row>
    <row r="14" spans="1:31" x14ac:dyDescent="0.25">
      <c r="H14" s="72"/>
      <c r="W14" s="133">
        <v>42738</v>
      </c>
      <c r="X14" s="10">
        <v>67.27</v>
      </c>
      <c r="Y14" s="10">
        <v>68.37</v>
      </c>
      <c r="Z14" s="10">
        <v>67.11</v>
      </c>
      <c r="AA14" s="10">
        <v>67.569999999999993</v>
      </c>
      <c r="AB14" s="95">
        <v>1077400</v>
      </c>
      <c r="AC14" s="10">
        <v>67.569999999999993</v>
      </c>
      <c r="AD14" s="2">
        <f t="shared" si="0"/>
        <v>1.2600000000000051</v>
      </c>
      <c r="AE14" s="138">
        <f t="shared" si="1"/>
        <v>1.334733053389292E-2</v>
      </c>
    </row>
    <row r="15" spans="1:31" x14ac:dyDescent="0.25">
      <c r="H15" s="72"/>
      <c r="W15" s="133">
        <v>42734</v>
      </c>
      <c r="X15" s="10">
        <v>67.25</v>
      </c>
      <c r="Y15" s="10">
        <v>67.55</v>
      </c>
      <c r="Z15" s="10">
        <v>66.349999999999994</v>
      </c>
      <c r="AA15" s="10">
        <v>66.680000000000007</v>
      </c>
      <c r="AB15" s="95">
        <v>966400</v>
      </c>
      <c r="AC15" s="10">
        <v>66.680000000000007</v>
      </c>
      <c r="AD15" s="2">
        <f t="shared" si="0"/>
        <v>1.2000000000000028</v>
      </c>
      <c r="AE15" s="138">
        <f t="shared" si="1"/>
        <v>-5.3699284009546266E-3</v>
      </c>
    </row>
    <row r="16" spans="1:31" x14ac:dyDescent="0.25">
      <c r="H16" s="72"/>
      <c r="W16" s="133">
        <v>42733</v>
      </c>
      <c r="X16" s="10">
        <v>67.14</v>
      </c>
      <c r="Y16" s="10">
        <v>67.83</v>
      </c>
      <c r="Z16" s="10">
        <v>66.88</v>
      </c>
      <c r="AA16" s="10">
        <v>67.040000000000006</v>
      </c>
      <c r="AB16" s="95">
        <v>589400</v>
      </c>
      <c r="AC16" s="10">
        <v>67.040000000000006</v>
      </c>
      <c r="AD16" s="2">
        <f t="shared" si="0"/>
        <v>0.95000000000000284</v>
      </c>
      <c r="AE16" s="138">
        <f t="shared" si="1"/>
        <v>-3.4190575293591152E-3</v>
      </c>
    </row>
    <row r="17" spans="1:31" x14ac:dyDescent="0.25">
      <c r="W17" s="133">
        <v>42732</v>
      </c>
      <c r="X17" s="10">
        <v>68.13</v>
      </c>
      <c r="Y17" s="10">
        <v>68.3</v>
      </c>
      <c r="Z17" s="10">
        <v>67.12</v>
      </c>
      <c r="AA17" s="10">
        <v>67.27</v>
      </c>
      <c r="AB17" s="95">
        <v>703200</v>
      </c>
      <c r="AC17" s="10">
        <v>67.27</v>
      </c>
      <c r="AD17" s="2">
        <f t="shared" si="0"/>
        <v>1.1799999999999926</v>
      </c>
      <c r="AE17" s="138">
        <f t="shared" si="1"/>
        <v>-1.2042884417682642E-2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67.63</v>
      </c>
      <c r="Y18" s="10">
        <v>68.39</v>
      </c>
      <c r="Z18" s="10">
        <v>67.27</v>
      </c>
      <c r="AA18" s="10">
        <v>68.09</v>
      </c>
      <c r="AB18" s="95">
        <v>607100</v>
      </c>
      <c r="AC18" s="10">
        <v>68.09</v>
      </c>
      <c r="AD18" s="2">
        <f t="shared" si="0"/>
        <v>1.1200000000000045</v>
      </c>
      <c r="AE18" s="138">
        <f t="shared" si="1"/>
        <v>6.8017152151413907E-3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67.31</v>
      </c>
      <c r="Y19" s="10">
        <v>67.75</v>
      </c>
      <c r="Z19" s="10">
        <v>67.11</v>
      </c>
      <c r="AA19" s="10">
        <v>67.63</v>
      </c>
      <c r="AB19" s="95">
        <v>571500</v>
      </c>
      <c r="AC19" s="10">
        <v>67.63</v>
      </c>
      <c r="AD19" s="2">
        <f t="shared" si="0"/>
        <v>0.64000000000000057</v>
      </c>
      <c r="AE19" s="138">
        <f t="shared" si="1"/>
        <v>3.8592845480183158E-3</v>
      </c>
    </row>
    <row r="20" spans="1:31" x14ac:dyDescent="0.25">
      <c r="W20" s="133">
        <v>42726</v>
      </c>
      <c r="X20" s="10">
        <v>68.16</v>
      </c>
      <c r="Y20" s="10">
        <v>68.680000000000007</v>
      </c>
      <c r="Z20" s="10">
        <v>67.239999999999995</v>
      </c>
      <c r="AA20" s="10">
        <v>67.37</v>
      </c>
      <c r="AB20" s="95">
        <v>965900</v>
      </c>
      <c r="AC20" s="10">
        <v>67.37</v>
      </c>
      <c r="AD20" s="2">
        <f t="shared" si="0"/>
        <v>1.4400000000000119</v>
      </c>
      <c r="AE20" s="138">
        <f t="shared" si="1"/>
        <v>-7.3670251952261401E-3</v>
      </c>
    </row>
    <row r="21" spans="1:31" x14ac:dyDescent="0.25">
      <c r="W21" s="133">
        <v>42725</v>
      </c>
      <c r="X21" s="10">
        <v>68.849999999999994</v>
      </c>
      <c r="Y21" s="10">
        <v>69.260000000000005</v>
      </c>
      <c r="Z21" s="10">
        <v>67.790000000000006</v>
      </c>
      <c r="AA21" s="10">
        <v>67.87</v>
      </c>
      <c r="AB21" s="95">
        <v>1002900</v>
      </c>
      <c r="AC21" s="10">
        <v>67.87</v>
      </c>
      <c r="AD21" s="2">
        <f t="shared" si="0"/>
        <v>1.4699999999999989</v>
      </c>
      <c r="AE21" s="138">
        <f t="shared" si="1"/>
        <v>-1.2081513828238744E-2</v>
      </c>
    </row>
    <row r="22" spans="1:31" x14ac:dyDescent="0.25">
      <c r="W22" s="133">
        <v>42724</v>
      </c>
      <c r="X22" s="10">
        <v>67.819999999999993</v>
      </c>
      <c r="Y22" s="10">
        <v>68.84</v>
      </c>
      <c r="Z22" s="10">
        <v>67.8</v>
      </c>
      <c r="AA22" s="10">
        <v>68.7</v>
      </c>
      <c r="AB22" s="95">
        <v>1274600</v>
      </c>
      <c r="AC22" s="10">
        <v>68.7</v>
      </c>
      <c r="AD22" s="2">
        <f t="shared" si="0"/>
        <v>1.0400000000000063</v>
      </c>
      <c r="AE22" s="138">
        <f t="shared" si="1"/>
        <v>1.387249114521838E-2</v>
      </c>
    </row>
    <row r="23" spans="1:31" x14ac:dyDescent="0.25">
      <c r="W23" s="133">
        <v>42723</v>
      </c>
      <c r="X23" s="10">
        <v>67.34</v>
      </c>
      <c r="Y23" s="10">
        <v>68.069999999999993</v>
      </c>
      <c r="Z23" s="10">
        <v>66.44</v>
      </c>
      <c r="AA23" s="10">
        <v>67.760000000000005</v>
      </c>
      <c r="AB23" s="95">
        <v>923800</v>
      </c>
      <c r="AC23" s="10">
        <v>67.760000000000005</v>
      </c>
      <c r="AD23" s="2">
        <f t="shared" si="0"/>
        <v>1.6299999999999955</v>
      </c>
      <c r="AE23" s="138">
        <f t="shared" si="1"/>
        <v>8.4834052686413308E-3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67.92</v>
      </c>
      <c r="Y24" s="10">
        <v>68.430000000000007</v>
      </c>
      <c r="Z24" s="10">
        <v>66.63</v>
      </c>
      <c r="AA24" s="10">
        <v>67.19</v>
      </c>
      <c r="AB24" s="95">
        <v>2565500</v>
      </c>
      <c r="AC24" s="10">
        <v>67.19</v>
      </c>
      <c r="AD24" s="2">
        <f t="shared" si="0"/>
        <v>1.8000000000000114</v>
      </c>
      <c r="AE24" s="138">
        <f t="shared" si="1"/>
        <v>-5.770938147380944E-3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264</v>
      </c>
      <c r="W25" s="133">
        <v>42719</v>
      </c>
      <c r="X25" s="10">
        <v>66.81</v>
      </c>
      <c r="Y25" s="10">
        <v>68.180000000000007</v>
      </c>
      <c r="Z25" s="10">
        <v>66.47</v>
      </c>
      <c r="AA25" s="10">
        <v>67.58</v>
      </c>
      <c r="AB25" s="95">
        <v>1543300</v>
      </c>
      <c r="AC25" s="10">
        <v>67.58</v>
      </c>
      <c r="AD25" s="2">
        <f t="shared" si="0"/>
        <v>1.710000000000008</v>
      </c>
      <c r="AE25" s="138">
        <f t="shared" si="1"/>
        <v>8.8072846693536544E-3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42718</v>
      </c>
      <c r="X26" s="10">
        <v>67</v>
      </c>
      <c r="Y26" s="10">
        <v>68.36</v>
      </c>
      <c r="Z26" s="10">
        <v>66.569999999999993</v>
      </c>
      <c r="AA26" s="10">
        <v>66.989999999999995</v>
      </c>
      <c r="AB26" s="95">
        <v>3112800</v>
      </c>
      <c r="AC26" s="10">
        <v>66.989999999999995</v>
      </c>
      <c r="AD26" s="2">
        <f t="shared" si="0"/>
        <v>1.7900000000000063</v>
      </c>
      <c r="AE26" s="138">
        <f t="shared" si="1"/>
        <v>2.8400368437212054E-2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267</v>
      </c>
      <c r="W27" s="133">
        <v>42717</v>
      </c>
      <c r="X27" s="10">
        <v>64.61</v>
      </c>
      <c r="Y27" s="10">
        <v>65.92</v>
      </c>
      <c r="Z27" s="10">
        <v>64.48</v>
      </c>
      <c r="AA27" s="10">
        <v>65.14</v>
      </c>
      <c r="AB27" s="95">
        <v>1332200</v>
      </c>
      <c r="AC27" s="10">
        <v>65.14</v>
      </c>
      <c r="AD27" s="2">
        <f t="shared" si="0"/>
        <v>1.4399999999999977</v>
      </c>
      <c r="AE27" s="138">
        <f t="shared" si="1"/>
        <v>1.3852140077821096E-2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42716</v>
      </c>
      <c r="X28" s="10">
        <v>64.790000000000006</v>
      </c>
      <c r="Y28" s="10">
        <v>64.84</v>
      </c>
      <c r="Z28" s="10">
        <v>63.68</v>
      </c>
      <c r="AA28" s="10">
        <v>64.25</v>
      </c>
      <c r="AB28" s="95">
        <v>1054500</v>
      </c>
      <c r="AC28" s="10">
        <v>64.25</v>
      </c>
      <c r="AD28" s="2">
        <f t="shared" si="0"/>
        <v>1.1600000000000037</v>
      </c>
      <c r="AE28" s="138">
        <f t="shared" si="1"/>
        <v>-1.0625192485371082E-2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42713</v>
      </c>
      <c r="X29" s="10">
        <v>66.37</v>
      </c>
      <c r="Y29" s="10">
        <v>66.569999999999993</v>
      </c>
      <c r="Z29" s="10">
        <v>64.819999999999993</v>
      </c>
      <c r="AA29" s="10">
        <v>64.94</v>
      </c>
      <c r="AB29" s="95">
        <v>1219800</v>
      </c>
      <c r="AC29" s="10">
        <v>64.94</v>
      </c>
      <c r="AD29" s="2">
        <f t="shared" si="0"/>
        <v>1.75</v>
      </c>
      <c r="AE29" s="138">
        <f t="shared" si="1"/>
        <v>-2.0660533856130314E-2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42712</v>
      </c>
      <c r="X30" s="10">
        <v>65.86</v>
      </c>
      <c r="Y30" s="10">
        <v>66.790000000000006</v>
      </c>
      <c r="Z30" s="10">
        <v>65.58</v>
      </c>
      <c r="AA30" s="10">
        <v>66.31</v>
      </c>
      <c r="AB30" s="95">
        <v>1096700</v>
      </c>
      <c r="AC30" s="10">
        <v>66.31</v>
      </c>
      <c r="AD30" s="2">
        <f t="shared" si="0"/>
        <v>1.210000000000008</v>
      </c>
      <c r="AE30" s="138">
        <f t="shared" si="1"/>
        <v>2.4187452758881456E-3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42711</v>
      </c>
      <c r="X31" s="10">
        <v>64.709999999999994</v>
      </c>
      <c r="Y31" s="10">
        <v>66.180000000000007</v>
      </c>
      <c r="Z31" s="10">
        <v>64.400000000000006</v>
      </c>
      <c r="AA31" s="10">
        <v>66.150000000000006</v>
      </c>
      <c r="AB31" s="95">
        <v>1308300</v>
      </c>
      <c r="AC31" s="10">
        <v>66.150000000000006</v>
      </c>
      <c r="AD31" s="2">
        <f t="shared" si="0"/>
        <v>1.7800000000000011</v>
      </c>
      <c r="AE31" s="138">
        <f t="shared" si="1"/>
        <v>1.8789465578315179E-2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42710</v>
      </c>
      <c r="X32" s="10">
        <v>64.41</v>
      </c>
      <c r="Y32" s="10">
        <v>64.98</v>
      </c>
      <c r="Z32" s="10">
        <v>64.040000000000006</v>
      </c>
      <c r="AA32" s="10">
        <v>64.930000000000007</v>
      </c>
      <c r="AB32" s="95">
        <v>1234200</v>
      </c>
      <c r="AC32" s="10">
        <v>64.930000000000007</v>
      </c>
      <c r="AD32" s="2">
        <f t="shared" si="0"/>
        <v>0.93999999999999773</v>
      </c>
      <c r="AE32" s="138">
        <f t="shared" si="1"/>
        <v>9.6408023635516926E-3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42709</v>
      </c>
      <c r="X33" s="10">
        <v>64</v>
      </c>
      <c r="Y33" s="10">
        <v>64.59</v>
      </c>
      <c r="Z33" s="10">
        <v>63.62</v>
      </c>
      <c r="AA33" s="10">
        <v>64.31</v>
      </c>
      <c r="AB33" s="95">
        <v>1970900</v>
      </c>
      <c r="AC33" s="10">
        <v>64.31</v>
      </c>
      <c r="AD33" s="2">
        <f t="shared" si="0"/>
        <v>0.97000000000000597</v>
      </c>
      <c r="AE33" s="138">
        <f t="shared" si="1"/>
        <v>6.8889932675748611E-3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42706</v>
      </c>
      <c r="X34" s="10">
        <v>63.34</v>
      </c>
      <c r="Y34" s="10">
        <v>64.14</v>
      </c>
      <c r="Z34" s="10">
        <v>62.83</v>
      </c>
      <c r="AA34" s="10">
        <v>63.87</v>
      </c>
      <c r="AB34" s="95">
        <v>2282300</v>
      </c>
      <c r="AC34" s="10">
        <v>63.87</v>
      </c>
      <c r="AD34" s="2">
        <f t="shared" si="0"/>
        <v>1.3100000000000023</v>
      </c>
      <c r="AE34" s="138">
        <f t="shared" si="1"/>
        <v>5.6683986773735651E-3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66.48</v>
      </c>
      <c r="Y35" s="10">
        <v>66.5</v>
      </c>
      <c r="Z35" s="10">
        <v>63.5</v>
      </c>
      <c r="AA35" s="10">
        <v>63.51</v>
      </c>
      <c r="AB35" s="95">
        <v>2879500</v>
      </c>
      <c r="AC35" s="10">
        <v>63.51</v>
      </c>
      <c r="AD35" s="2">
        <f t="shared" si="0"/>
        <v>3</v>
      </c>
      <c r="AE35" s="138">
        <f t="shared" si="1"/>
        <v>-4.7826086956521796E-2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67.3</v>
      </c>
      <c r="Y36" s="10">
        <v>67.48</v>
      </c>
      <c r="Z36" s="10">
        <v>66.44</v>
      </c>
      <c r="AA36" s="10">
        <v>66.7</v>
      </c>
      <c r="AB36" s="95">
        <v>1751100</v>
      </c>
      <c r="AC36" s="10">
        <v>66.7</v>
      </c>
      <c r="AD36" s="2">
        <f t="shared" si="0"/>
        <v>1.0400000000000063</v>
      </c>
      <c r="AE36" s="138">
        <f t="shared" si="1"/>
        <v>-8.6206896551723755E-3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66.34</v>
      </c>
      <c r="Y37" s="10">
        <v>67.760000000000005</v>
      </c>
      <c r="Z37" s="10">
        <v>66.11</v>
      </c>
      <c r="AA37" s="10">
        <v>67.28</v>
      </c>
      <c r="AB37" s="95">
        <v>1895700</v>
      </c>
      <c r="AC37" s="10">
        <v>67.28</v>
      </c>
      <c r="AD37" s="2">
        <f t="shared" si="0"/>
        <v>1.6500000000000057</v>
      </c>
      <c r="AE37" s="138">
        <f t="shared" si="1"/>
        <v>1.6774973552969641E-2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66.52</v>
      </c>
      <c r="Y38" s="10">
        <v>66.790000000000006</v>
      </c>
      <c r="Z38" s="10">
        <v>65.900000000000006</v>
      </c>
      <c r="AA38" s="10">
        <v>66.17</v>
      </c>
      <c r="AB38" s="95">
        <v>984300</v>
      </c>
      <c r="AC38" s="10">
        <v>66.17</v>
      </c>
      <c r="AD38" s="2">
        <f t="shared" si="0"/>
        <v>0.89000000000000057</v>
      </c>
      <c r="AE38" s="138">
        <f t="shared" si="1"/>
        <v>-1.1650485436893177E-2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66.7</v>
      </c>
      <c r="Y39" s="10">
        <v>66.97</v>
      </c>
      <c r="Z39" s="10">
        <v>66.099999999999994</v>
      </c>
      <c r="AA39" s="10">
        <v>66.95</v>
      </c>
      <c r="AB39" s="95">
        <v>439600</v>
      </c>
      <c r="AC39" s="10">
        <v>66.95</v>
      </c>
      <c r="AD39" s="2">
        <f t="shared" si="0"/>
        <v>0.87000000000000455</v>
      </c>
      <c r="AE39" s="138">
        <f t="shared" si="1"/>
        <v>7.0697954271961017E-3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66.8</v>
      </c>
      <c r="Y40" s="10">
        <v>66.930000000000007</v>
      </c>
      <c r="Z40" s="10">
        <v>65.86</v>
      </c>
      <c r="AA40" s="10">
        <v>66.48</v>
      </c>
      <c r="AB40" s="95">
        <v>1362000</v>
      </c>
      <c r="AC40" s="10">
        <v>66.48</v>
      </c>
      <c r="AD40" s="2">
        <f t="shared" si="0"/>
        <v>1.0700000000000074</v>
      </c>
      <c r="AE40" s="138">
        <f t="shared" si="1"/>
        <v>-5.0882969170905623E-3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76.065000000000012</v>
      </c>
      <c r="Q41" s="2"/>
      <c r="W41" s="133">
        <v>42696</v>
      </c>
      <c r="X41" s="10">
        <v>66.260000000000005</v>
      </c>
      <c r="Y41" s="10">
        <v>67.03</v>
      </c>
      <c r="Z41" s="10">
        <v>66.260000000000005</v>
      </c>
      <c r="AA41" s="10">
        <v>66.819999999999993</v>
      </c>
      <c r="AB41" s="95">
        <v>1871900</v>
      </c>
      <c r="AC41" s="10">
        <v>66.819999999999993</v>
      </c>
      <c r="AD41" s="2">
        <f t="shared" si="0"/>
        <v>0.76999999999999602</v>
      </c>
      <c r="AE41" s="138">
        <f t="shared" si="1"/>
        <v>-1.1958146487296428E-3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75.373500000000007</v>
      </c>
      <c r="Q42" s="2"/>
      <c r="T42" s="91" t="s">
        <v>113</v>
      </c>
      <c r="W42" s="133">
        <v>42695</v>
      </c>
      <c r="X42" s="10">
        <v>66.5</v>
      </c>
      <c r="Y42" s="10">
        <v>67.099999999999994</v>
      </c>
      <c r="Z42" s="10">
        <v>66.05</v>
      </c>
      <c r="AA42" s="10">
        <v>66.900000000000006</v>
      </c>
      <c r="AB42" s="95">
        <v>2356100</v>
      </c>
      <c r="AC42" s="10">
        <v>66.900000000000006</v>
      </c>
      <c r="AD42" s="2">
        <f t="shared" si="0"/>
        <v>1.0499999999999972</v>
      </c>
      <c r="AE42" s="138">
        <f t="shared" si="1"/>
        <v>6.9235400361229438E-3</v>
      </c>
    </row>
    <row r="43" spans="1:31" ht="15.75" thickTop="1" x14ac:dyDescent="0.25">
      <c r="O43" s="83">
        <v>1.08</v>
      </c>
      <c r="P43" s="83">
        <f t="shared" si="30"/>
        <v>74.682000000000016</v>
      </c>
      <c r="Q43" s="2"/>
      <c r="T43" s="128" t="s">
        <v>98</v>
      </c>
      <c r="U43" s="129">
        <v>68.98</v>
      </c>
      <c r="W43" s="133">
        <v>42692</v>
      </c>
      <c r="X43" s="10">
        <v>66.63</v>
      </c>
      <c r="Y43" s="10">
        <v>66.739999999999995</v>
      </c>
      <c r="Z43" s="10">
        <v>66.08</v>
      </c>
      <c r="AA43" s="10">
        <v>66.44</v>
      </c>
      <c r="AB43" s="95">
        <v>1514500</v>
      </c>
      <c r="AC43" s="10">
        <v>66.44</v>
      </c>
      <c r="AD43" s="2">
        <f t="shared" si="0"/>
        <v>0.65999999999999659</v>
      </c>
      <c r="AE43" s="138">
        <f t="shared" si="1"/>
        <v>-2.4024024024023038E-3</v>
      </c>
    </row>
    <row r="44" spans="1:31" x14ac:dyDescent="0.25">
      <c r="O44" s="83">
        <v>1.07</v>
      </c>
      <c r="P44" s="83">
        <f t="shared" si="30"/>
        <v>73.990500000000011</v>
      </c>
      <c r="Q44" s="2"/>
      <c r="T44" s="93" t="s">
        <v>99</v>
      </c>
      <c r="U44" s="130">
        <v>69.36</v>
      </c>
      <c r="W44" s="133">
        <v>42691</v>
      </c>
      <c r="X44" s="10">
        <v>66.25</v>
      </c>
      <c r="Y44" s="10">
        <v>66.930000000000007</v>
      </c>
      <c r="Z44" s="10">
        <v>66.099999999999994</v>
      </c>
      <c r="AA44" s="10">
        <v>66.599999999999994</v>
      </c>
      <c r="AB44" s="95">
        <v>2342900</v>
      </c>
      <c r="AC44" s="10">
        <v>66.599999999999994</v>
      </c>
      <c r="AD44" s="2">
        <f t="shared" si="0"/>
        <v>0.83000000000001251</v>
      </c>
      <c r="AE44" s="138">
        <f t="shared" si="1"/>
        <v>1.0622154779969417E-2</v>
      </c>
    </row>
    <row r="45" spans="1:31" x14ac:dyDescent="0.25">
      <c r="O45" s="83">
        <v>1.06</v>
      </c>
      <c r="P45" s="83">
        <f t="shared" si="30"/>
        <v>73.299000000000007</v>
      </c>
      <c r="Q45" s="2"/>
      <c r="T45" s="93" t="s">
        <v>100</v>
      </c>
      <c r="U45" s="130" t="s">
        <v>496</v>
      </c>
      <c r="W45" s="133">
        <v>42690</v>
      </c>
      <c r="X45" s="10">
        <v>65.400000000000006</v>
      </c>
      <c r="Y45" s="10">
        <v>66.099999999999994</v>
      </c>
      <c r="Z45" s="10">
        <v>65.209999999999994</v>
      </c>
      <c r="AA45" s="10">
        <v>65.900000000000006</v>
      </c>
      <c r="AB45" s="95">
        <v>1989700</v>
      </c>
      <c r="AC45" s="10">
        <v>65.900000000000006</v>
      </c>
      <c r="AD45" s="2">
        <f t="shared" si="0"/>
        <v>0.89000000000000057</v>
      </c>
      <c r="AE45" s="138">
        <f t="shared" si="1"/>
        <v>6.5678936917672459E-3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72.607500000000016</v>
      </c>
      <c r="Q46" s="2"/>
      <c r="T46" s="93" t="s">
        <v>101</v>
      </c>
      <c r="U46" s="130" t="s">
        <v>497</v>
      </c>
      <c r="W46" s="133">
        <v>42689</v>
      </c>
      <c r="X46" s="10">
        <v>65.77</v>
      </c>
      <c r="Y46" s="10">
        <v>66.3</v>
      </c>
      <c r="Z46" s="10">
        <v>65.3</v>
      </c>
      <c r="AA46" s="10">
        <v>65.47</v>
      </c>
      <c r="AB46" s="95">
        <v>3418400</v>
      </c>
      <c r="AC46" s="10">
        <v>65.47</v>
      </c>
      <c r="AD46" s="2">
        <f t="shared" si="0"/>
        <v>1</v>
      </c>
      <c r="AE46" s="138">
        <f t="shared" si="1"/>
        <v>4.5843520782407055E-4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71.916000000000011</v>
      </c>
      <c r="Q47" s="2"/>
      <c r="T47" s="93" t="s">
        <v>102</v>
      </c>
      <c r="U47" s="130">
        <v>68.599999999999994</v>
      </c>
      <c r="W47" s="133">
        <v>42688</v>
      </c>
      <c r="X47" s="10">
        <v>65.77</v>
      </c>
      <c r="Y47" s="10">
        <v>65.86</v>
      </c>
      <c r="Z47" s="10">
        <v>65.08</v>
      </c>
      <c r="AA47" s="10">
        <v>65.44</v>
      </c>
      <c r="AB47" s="95">
        <v>2373300</v>
      </c>
      <c r="AC47" s="10">
        <v>65.44</v>
      </c>
      <c r="AD47" s="2">
        <f t="shared" si="0"/>
        <v>0.78000000000000114</v>
      </c>
      <c r="AE47" s="138">
        <f t="shared" si="1"/>
        <v>-1.5278838808263639E-4</v>
      </c>
    </row>
    <row r="48" spans="1:31" x14ac:dyDescent="0.25">
      <c r="A48" s="265" t="s">
        <v>263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71.224500000000006</v>
      </c>
      <c r="Q48" s="2"/>
      <c r="T48" s="93" t="s">
        <v>103</v>
      </c>
      <c r="U48" s="130">
        <v>0.78687600000000002</v>
      </c>
      <c r="W48" s="133">
        <v>42685</v>
      </c>
      <c r="X48" s="10">
        <v>65.930000000000007</v>
      </c>
      <c r="Y48" s="10">
        <v>66.16</v>
      </c>
      <c r="Z48" s="10">
        <v>65.11</v>
      </c>
      <c r="AA48" s="10">
        <v>65.45</v>
      </c>
      <c r="AB48" s="95">
        <v>2926300</v>
      </c>
      <c r="AC48" s="10">
        <v>65.45</v>
      </c>
      <c r="AD48" s="2">
        <f t="shared" si="0"/>
        <v>1.0499999999999972</v>
      </c>
      <c r="AE48" s="138">
        <f t="shared" si="1"/>
        <v>-1.1627906976744096E-2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70.533000000000001</v>
      </c>
      <c r="Q49" s="2"/>
      <c r="T49" s="93" t="s">
        <v>104</v>
      </c>
      <c r="U49" s="130" t="s">
        <v>410</v>
      </c>
      <c r="W49" s="133">
        <v>42684</v>
      </c>
      <c r="X49" s="10">
        <v>66.849999999999994</v>
      </c>
      <c r="Y49" s="10">
        <v>67.63</v>
      </c>
      <c r="Z49" s="10">
        <v>65</v>
      </c>
      <c r="AA49" s="10">
        <v>66.22</v>
      </c>
      <c r="AB49" s="95">
        <v>2153100</v>
      </c>
      <c r="AC49" s="10">
        <v>66.22</v>
      </c>
      <c r="AD49" s="2">
        <f t="shared" si="0"/>
        <v>2.6299999999999955</v>
      </c>
      <c r="AE49" s="138">
        <f t="shared" si="1"/>
        <v>-4.6595520817676039E-3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69.841500000000011</v>
      </c>
      <c r="Q50" s="2"/>
      <c r="T50" s="93"/>
      <c r="U50" s="130"/>
      <c r="W50" s="133">
        <v>42683</v>
      </c>
      <c r="X50" s="10">
        <v>64.989999999999995</v>
      </c>
      <c r="Y50" s="10">
        <v>66.97</v>
      </c>
      <c r="Z50" s="10">
        <v>64.77</v>
      </c>
      <c r="AA50" s="10">
        <v>66.53</v>
      </c>
      <c r="AB50" s="95">
        <v>2760800</v>
      </c>
      <c r="AC50" s="10">
        <v>66.53</v>
      </c>
      <c r="AD50" s="2">
        <f t="shared" si="0"/>
        <v>2.2000000000000028</v>
      </c>
      <c r="AE50" s="138">
        <f t="shared" si="1"/>
        <v>2.4107277384359804E-3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69.150000000000006</v>
      </c>
      <c r="Q51" s="2"/>
      <c r="T51" s="93" t="s">
        <v>105</v>
      </c>
      <c r="U51" s="130" t="s">
        <v>498</v>
      </c>
      <c r="W51" s="133">
        <v>42682</v>
      </c>
      <c r="X51" s="10">
        <v>66.31</v>
      </c>
      <c r="Y51" s="10">
        <v>66.760000000000005</v>
      </c>
      <c r="Z51" s="10">
        <v>65.75</v>
      </c>
      <c r="AA51" s="10">
        <v>66.37</v>
      </c>
      <c r="AB51" s="95">
        <v>2761700</v>
      </c>
      <c r="AC51" s="10">
        <v>66.37</v>
      </c>
      <c r="AD51" s="2">
        <f t="shared" si="0"/>
        <v>1.0100000000000051</v>
      </c>
      <c r="AE51" s="138">
        <f t="shared" si="1"/>
        <v>-2.254960914010673E-3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68.458500000000001</v>
      </c>
      <c r="Q52" s="2"/>
      <c r="T52" s="93" t="s">
        <v>106</v>
      </c>
      <c r="U52" s="130" t="s">
        <v>427</v>
      </c>
      <c r="W52" s="133">
        <v>42681</v>
      </c>
      <c r="X52" s="10">
        <v>67.319999999999993</v>
      </c>
      <c r="Y52" s="10">
        <v>67.5</v>
      </c>
      <c r="Z52" s="10">
        <v>66.209999999999994</v>
      </c>
      <c r="AA52" s="10">
        <v>66.52</v>
      </c>
      <c r="AB52" s="95">
        <v>2617300</v>
      </c>
      <c r="AC52" s="10">
        <v>66.52</v>
      </c>
      <c r="AD52" s="2">
        <f t="shared" si="0"/>
        <v>1.2900000000000063</v>
      </c>
      <c r="AE52" s="138">
        <f t="shared" si="1"/>
        <v>1.0788633946208659E-2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67.76700000000001</v>
      </c>
      <c r="Q53" s="2"/>
      <c r="T53" s="93" t="s">
        <v>107</v>
      </c>
      <c r="U53" s="131">
        <v>1447099</v>
      </c>
      <c r="W53" s="133">
        <v>42678</v>
      </c>
      <c r="X53" s="10">
        <v>66.33</v>
      </c>
      <c r="Y53" s="10">
        <v>67.040000000000006</v>
      </c>
      <c r="Z53" s="10">
        <v>65.69</v>
      </c>
      <c r="AA53" s="10">
        <v>65.81</v>
      </c>
      <c r="AB53" s="95">
        <v>3087700</v>
      </c>
      <c r="AC53" s="10">
        <v>65.81</v>
      </c>
      <c r="AD53" s="2">
        <f t="shared" si="0"/>
        <v>1.3500000000000085</v>
      </c>
      <c r="AE53" s="138">
        <f t="shared" si="1"/>
        <v>-1.0673481659651096E-2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67.075500000000005</v>
      </c>
      <c r="T54" s="93" t="s">
        <v>110</v>
      </c>
      <c r="U54" s="131">
        <v>2179140</v>
      </c>
      <c r="W54" s="133">
        <v>42677</v>
      </c>
      <c r="X54" s="10">
        <v>67.42</v>
      </c>
      <c r="Y54" s="10">
        <v>67.540000000000006</v>
      </c>
      <c r="Z54" s="10">
        <v>66.48</v>
      </c>
      <c r="AA54" s="10">
        <v>66.52</v>
      </c>
      <c r="AB54" s="95">
        <v>2483600</v>
      </c>
      <c r="AC54" s="10">
        <v>66.52</v>
      </c>
      <c r="AD54" s="2">
        <f t="shared" si="0"/>
        <v>1.0600000000000023</v>
      </c>
      <c r="AE54" s="138">
        <f t="shared" si="1"/>
        <v>-1.1736740454613037E-2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66.384</v>
      </c>
      <c r="T55" s="93" t="s">
        <v>108</v>
      </c>
      <c r="U55" s="130" t="s">
        <v>499</v>
      </c>
      <c r="W55" s="133">
        <v>42676</v>
      </c>
      <c r="X55" s="10">
        <v>68</v>
      </c>
      <c r="Y55" s="10">
        <v>68.22</v>
      </c>
      <c r="Z55" s="10">
        <v>67.209999999999994</v>
      </c>
      <c r="AA55" s="10">
        <v>67.31</v>
      </c>
      <c r="AB55" s="95">
        <v>3684900</v>
      </c>
      <c r="AC55" s="10">
        <v>67.31</v>
      </c>
      <c r="AD55" s="2">
        <f t="shared" si="0"/>
        <v>1.0100000000000051</v>
      </c>
      <c r="AE55" s="138">
        <f t="shared" si="1"/>
        <v>-1.1600587371512372E-2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65.692499999999995</v>
      </c>
      <c r="T56" s="93" t="s">
        <v>111</v>
      </c>
      <c r="U56" s="130">
        <v>39.270000000000003</v>
      </c>
      <c r="W56" s="133">
        <v>42675</v>
      </c>
      <c r="X56" s="10">
        <v>69.39</v>
      </c>
      <c r="Y56" s="10">
        <v>69.55</v>
      </c>
      <c r="Z56" s="10">
        <v>67.52</v>
      </c>
      <c r="AA56" s="10">
        <v>68.099999999999994</v>
      </c>
      <c r="AB56" s="95">
        <v>5326000</v>
      </c>
      <c r="AC56" s="10">
        <v>68.099999999999994</v>
      </c>
      <c r="AD56" s="2">
        <f t="shared" si="0"/>
        <v>2.0300000000000011</v>
      </c>
      <c r="AE56" s="138">
        <f t="shared" si="1"/>
        <v>-1.9720742766661914E-2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65.001000000000005</v>
      </c>
      <c r="T57" s="93" t="s">
        <v>112</v>
      </c>
      <c r="U57" s="130">
        <v>1.76</v>
      </c>
      <c r="W57" s="133">
        <v>42674</v>
      </c>
      <c r="X57" s="10">
        <v>69.760000000000005</v>
      </c>
      <c r="Y57" s="10">
        <v>71.040000000000006</v>
      </c>
      <c r="Z57" s="10">
        <v>69.349999999999994</v>
      </c>
      <c r="AA57" s="10">
        <v>69.47</v>
      </c>
      <c r="AB57" s="95">
        <v>3711100</v>
      </c>
      <c r="AC57" s="10">
        <v>69.47</v>
      </c>
      <c r="AD57" s="2">
        <f t="shared" si="0"/>
        <v>1.6900000000000119</v>
      </c>
      <c r="AE57" s="138">
        <f t="shared" si="1"/>
        <v>-6.2938063224144969E-3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64.309500000000014</v>
      </c>
      <c r="T58" s="93" t="s">
        <v>109</v>
      </c>
      <c r="U58" s="130" t="s">
        <v>123</v>
      </c>
      <c r="W58" s="133">
        <v>42671</v>
      </c>
      <c r="X58" s="10">
        <v>68.63</v>
      </c>
      <c r="Y58" s="10">
        <v>70.099999999999994</v>
      </c>
      <c r="Z58" s="10">
        <v>68.47</v>
      </c>
      <c r="AA58" s="10">
        <v>69.91</v>
      </c>
      <c r="AB58" s="95">
        <v>4018100</v>
      </c>
      <c r="AC58" s="10">
        <v>69.91</v>
      </c>
      <c r="AD58" s="2">
        <f t="shared" si="0"/>
        <v>1.6299999999999955</v>
      </c>
      <c r="AE58" s="138">
        <f t="shared" si="1"/>
        <v>1.5986048539456288E-2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63.618000000000009</v>
      </c>
      <c r="W59" s="133">
        <v>42670</v>
      </c>
      <c r="X59" s="10">
        <v>68.09</v>
      </c>
      <c r="Y59" s="10">
        <v>69.95</v>
      </c>
      <c r="Z59" s="10">
        <v>67.02</v>
      </c>
      <c r="AA59" s="10">
        <v>68.81</v>
      </c>
      <c r="AB59" s="95">
        <v>6585200</v>
      </c>
      <c r="AC59" s="10">
        <v>68.81</v>
      </c>
      <c r="AD59" s="2">
        <f t="shared" si="0"/>
        <v>2.9300000000000068</v>
      </c>
      <c r="AE59" s="138">
        <f t="shared" si="1"/>
        <v>1.6395864106351521E-2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62.926500000000004</v>
      </c>
      <c r="W60" s="133">
        <v>42669</v>
      </c>
      <c r="X60" s="10">
        <v>64.36</v>
      </c>
      <c r="Y60" s="10">
        <v>68.47</v>
      </c>
      <c r="Z60" s="10">
        <v>64.099999999999994</v>
      </c>
      <c r="AA60" s="10">
        <v>67.7</v>
      </c>
      <c r="AB60" s="95">
        <v>13754500</v>
      </c>
      <c r="AC60" s="10">
        <v>67.7</v>
      </c>
      <c r="AD60" s="2">
        <f t="shared" si="0"/>
        <v>4.3700000000000045</v>
      </c>
      <c r="AE60" s="138">
        <f t="shared" si="1"/>
        <v>0.14609785000846465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62.235000000000007</v>
      </c>
      <c r="W61" s="133">
        <v>42668</v>
      </c>
      <c r="X61" s="10">
        <v>59</v>
      </c>
      <c r="Y61" s="10">
        <v>59.2</v>
      </c>
      <c r="Z61" s="10">
        <v>58.44</v>
      </c>
      <c r="AA61" s="10">
        <v>59.07</v>
      </c>
      <c r="AB61" s="95">
        <v>3407400</v>
      </c>
      <c r="AC61" s="10">
        <v>59.07</v>
      </c>
      <c r="AD61" s="2">
        <f t="shared" si="0"/>
        <v>0.76000000000000512</v>
      </c>
      <c r="AE61" s="138">
        <f t="shared" si="1"/>
        <v>3.9089055064580602E-3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42667</v>
      </c>
      <c r="X62" s="10">
        <v>57.97</v>
      </c>
      <c r="Y62" s="10">
        <v>59.18</v>
      </c>
      <c r="Z62" s="10">
        <v>57.84</v>
      </c>
      <c r="AA62" s="10">
        <v>58.84</v>
      </c>
      <c r="AB62" s="95">
        <v>2852900</v>
      </c>
      <c r="AC62" s="10">
        <v>58.84</v>
      </c>
      <c r="AD62" s="2">
        <f t="shared" si="0"/>
        <v>1.3399999999999963</v>
      </c>
      <c r="AE62" s="138">
        <f t="shared" si="1"/>
        <v>2.0287844633258167E-2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42664</v>
      </c>
      <c r="X63" s="10">
        <v>56.73</v>
      </c>
      <c r="Y63" s="10">
        <v>57.81</v>
      </c>
      <c r="Z63" s="10">
        <v>56.25</v>
      </c>
      <c r="AA63" s="10">
        <v>57.67</v>
      </c>
      <c r="AB63" s="95">
        <v>1800600</v>
      </c>
      <c r="AC63" s="10">
        <v>57.67</v>
      </c>
      <c r="AD63" s="2">
        <f t="shared" si="0"/>
        <v>1.5600000000000023</v>
      </c>
      <c r="AE63" s="138">
        <f t="shared" si="1"/>
        <v>1.6569716199541729E-2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42663</v>
      </c>
      <c r="X64" s="10">
        <v>56.57</v>
      </c>
      <c r="Y64" s="10">
        <v>56.88</v>
      </c>
      <c r="Z64" s="10">
        <v>56.33</v>
      </c>
      <c r="AA64" s="10">
        <v>56.73</v>
      </c>
      <c r="AB64" s="95">
        <v>1072500</v>
      </c>
      <c r="AC64" s="10">
        <v>56.73</v>
      </c>
      <c r="AD64" s="2">
        <f t="shared" si="0"/>
        <v>0.55000000000000426</v>
      </c>
      <c r="AE64" s="138">
        <f t="shared" si="1"/>
        <v>1.9427764040975681E-3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42662</v>
      </c>
      <c r="X65" s="10">
        <v>56.18</v>
      </c>
      <c r="Y65" s="10">
        <v>56.98</v>
      </c>
      <c r="Z65" s="10">
        <v>56</v>
      </c>
      <c r="AA65" s="10">
        <v>56.62</v>
      </c>
      <c r="AB65" s="95">
        <v>1698000</v>
      </c>
      <c r="AC65" s="10">
        <v>56.62</v>
      </c>
      <c r="AD65" s="2">
        <f t="shared" si="0"/>
        <v>0.97999999999999687</v>
      </c>
      <c r="AE65" s="138">
        <f t="shared" si="1"/>
        <v>1.2517882689556448E-2</v>
      </c>
    </row>
    <row r="66" spans="1:31" x14ac:dyDescent="0.25">
      <c r="W66" s="133">
        <v>42661</v>
      </c>
      <c r="X66" s="10">
        <v>55.69</v>
      </c>
      <c r="Y66" s="10">
        <v>56.3</v>
      </c>
      <c r="Z66" s="10">
        <v>55.58</v>
      </c>
      <c r="AA66" s="10">
        <v>55.92</v>
      </c>
      <c r="AB66" s="95">
        <v>1937300</v>
      </c>
      <c r="AC66" s="10">
        <v>55.92</v>
      </c>
      <c r="AD66" s="2">
        <f t="shared" si="0"/>
        <v>0.71999999999999886</v>
      </c>
      <c r="AE66" s="138">
        <f t="shared" si="1"/>
        <v>1.7837641062977916E-2</v>
      </c>
    </row>
    <row r="67" spans="1:31" x14ac:dyDescent="0.25">
      <c r="W67" s="133">
        <v>42660</v>
      </c>
      <c r="X67" s="10">
        <v>54.52</v>
      </c>
      <c r="Y67" s="10">
        <v>54.99</v>
      </c>
      <c r="Z67" s="10">
        <v>54.11</v>
      </c>
      <c r="AA67" s="10">
        <v>54.94</v>
      </c>
      <c r="AB67" s="95">
        <v>1266000</v>
      </c>
      <c r="AC67" s="10">
        <v>54.94</v>
      </c>
      <c r="AD67" s="2">
        <f>Y67-Z67</f>
        <v>0.88000000000000256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45" priority="11">
      <formula>F34&gt;0</formula>
    </cfRule>
    <cfRule type="expression" dxfId="844" priority="12">
      <formula>F34&lt;0</formula>
    </cfRule>
  </conditionalFormatting>
  <conditionalFormatting sqref="Q7">
    <cfRule type="expression" dxfId="843" priority="9">
      <formula>Q7&gt;0</formula>
    </cfRule>
    <cfRule type="expression" dxfId="842" priority="10">
      <formula>Q7&lt;0</formula>
    </cfRule>
  </conditionalFormatting>
  <conditionalFormatting sqref="Q8">
    <cfRule type="expression" dxfId="841" priority="7">
      <formula>Q8&gt;0</formula>
    </cfRule>
    <cfRule type="expression" dxfId="840" priority="8">
      <formula>Q8&lt;0</formula>
    </cfRule>
  </conditionalFormatting>
  <conditionalFormatting sqref="F25:F33">
    <cfRule type="expression" dxfId="839" priority="5">
      <formula>F25&gt;0</formula>
    </cfRule>
    <cfRule type="expression" dxfId="838" priority="6">
      <formula>F25&lt;0</formula>
    </cfRule>
  </conditionalFormatting>
  <conditionalFormatting sqref="H25:H33">
    <cfRule type="expression" dxfId="837" priority="3">
      <formula>H25&gt;0</formula>
    </cfRule>
    <cfRule type="expression" dxfId="836" priority="4">
      <formula>H25&lt;0</formula>
    </cfRule>
  </conditionalFormatting>
  <conditionalFormatting sqref="M46">
    <cfRule type="expression" dxfId="835" priority="1">
      <formula>M46&gt;0</formula>
    </cfRule>
    <cfRule type="expression" dxfId="83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42755</v>
      </c>
      <c r="X2" s="10">
        <v>83.29</v>
      </c>
      <c r="Y2" s="10">
        <v>83.43</v>
      </c>
      <c r="Z2" s="10">
        <v>81.31</v>
      </c>
      <c r="AA2" s="10">
        <v>81.56</v>
      </c>
      <c r="AB2" s="95">
        <v>7404200</v>
      </c>
      <c r="AC2" s="10">
        <v>81.56</v>
      </c>
      <c r="AD2" s="2"/>
      <c r="AE2" s="138" t="e">
        <f>AC2/AC3-1</f>
        <v>#DIV/0!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42755</v>
      </c>
      <c r="X3" s="10" t="s">
        <v>503</v>
      </c>
      <c r="Y3" s="10"/>
      <c r="Z3" s="10"/>
      <c r="AA3" s="10"/>
      <c r="AB3" s="95"/>
      <c r="AC3" s="10"/>
      <c r="AD3" s="2"/>
      <c r="AE3" s="138">
        <f t="shared" ref="AE3:AE66" si="0">AC3/AC4-1</f>
        <v>-1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81.56</v>
      </c>
      <c r="R4" s="505">
        <v>-1.38E-2</v>
      </c>
      <c r="T4" s="163"/>
      <c r="U4" s="1"/>
      <c r="W4" s="133">
        <v>42754</v>
      </c>
      <c r="X4" s="10">
        <v>83.17</v>
      </c>
      <c r="Y4" s="10">
        <v>83.86</v>
      </c>
      <c r="Z4" s="10">
        <v>82.32</v>
      </c>
      <c r="AA4" s="10">
        <v>83.2</v>
      </c>
      <c r="AB4" s="95">
        <v>5220700</v>
      </c>
      <c r="AC4" s="10">
        <v>82.7</v>
      </c>
      <c r="AD4" s="2"/>
      <c r="AE4" s="138">
        <f t="shared" si="0"/>
        <v>-4.0944123314066161E-3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6524.8</v>
      </c>
      <c r="W5" s="133">
        <v>42753</v>
      </c>
      <c r="X5" s="10">
        <v>84.49</v>
      </c>
      <c r="Y5" s="10">
        <v>84.72</v>
      </c>
      <c r="Z5" s="10">
        <v>83.2</v>
      </c>
      <c r="AA5" s="10">
        <v>83.54</v>
      </c>
      <c r="AB5" s="95">
        <v>5263100</v>
      </c>
      <c r="AC5" s="10">
        <v>83.04</v>
      </c>
      <c r="AD5" s="2"/>
      <c r="AE5" s="138">
        <f t="shared" si="0"/>
        <v>-4.5552625269719149E-3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42752</v>
      </c>
      <c r="X6" s="10">
        <v>81.96</v>
      </c>
      <c r="Y6" s="10">
        <v>83.98</v>
      </c>
      <c r="Z6" s="10">
        <v>81.91</v>
      </c>
      <c r="AA6" s="10">
        <v>83.92</v>
      </c>
      <c r="AB6" s="95">
        <v>7292700</v>
      </c>
      <c r="AC6" s="10">
        <v>83.42</v>
      </c>
      <c r="AD6" s="2"/>
      <c r="AE6" s="138">
        <f t="shared" si="0"/>
        <v>2.3683887593569874E-2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-305.59999999999945</v>
      </c>
      <c r="R7">
        <v>80</v>
      </c>
      <c r="W7" s="133">
        <v>42748</v>
      </c>
      <c r="X7" s="10">
        <v>82.7</v>
      </c>
      <c r="Y7" s="10">
        <v>82.91</v>
      </c>
      <c r="Z7" s="10">
        <v>81.75</v>
      </c>
      <c r="AA7" s="10">
        <v>81.98</v>
      </c>
      <c r="AB7" s="95">
        <v>4809200</v>
      </c>
      <c r="AC7" s="10">
        <v>81.489999999999995</v>
      </c>
      <c r="AD7" s="2"/>
      <c r="AE7" s="138">
        <f t="shared" si="0"/>
        <v>-7.4299634591961095E-3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-305.59999999999945</v>
      </c>
      <c r="W8" s="133">
        <v>42747</v>
      </c>
      <c r="X8" s="10">
        <v>82.92</v>
      </c>
      <c r="Y8" s="10">
        <v>83.21</v>
      </c>
      <c r="Z8" s="10">
        <v>82.38</v>
      </c>
      <c r="AA8" s="10">
        <v>82.6</v>
      </c>
      <c r="AB8" s="95">
        <v>5774300</v>
      </c>
      <c r="AC8" s="10">
        <v>82.1</v>
      </c>
      <c r="AD8" s="2"/>
      <c r="AE8" s="138">
        <f t="shared" si="0"/>
        <v>-2.0663668408897884E-3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-4.4741157179667292E-2</v>
      </c>
      <c r="W9" s="133">
        <v>42746</v>
      </c>
      <c r="X9" s="10">
        <v>82.22</v>
      </c>
      <c r="Y9" s="10">
        <v>83.11</v>
      </c>
      <c r="Z9" s="10">
        <v>81.73</v>
      </c>
      <c r="AA9" s="10">
        <v>82.77</v>
      </c>
      <c r="AB9" s="95">
        <v>6404200</v>
      </c>
      <c r="AC9" s="10">
        <v>82.27</v>
      </c>
      <c r="AD9" s="2"/>
      <c r="AE9" s="138">
        <f t="shared" si="0"/>
        <v>1.2169891687963119E-3</v>
      </c>
    </row>
    <row r="10" spans="1:31" x14ac:dyDescent="0.25">
      <c r="H10" s="72"/>
      <c r="O10" s="11" t="s">
        <v>214</v>
      </c>
      <c r="P10" s="34"/>
      <c r="Q10" s="2">
        <v>0</v>
      </c>
      <c r="W10" s="133">
        <v>42745</v>
      </c>
      <c r="X10" s="10">
        <v>81.72</v>
      </c>
      <c r="Y10" s="10">
        <v>82.89</v>
      </c>
      <c r="Z10" s="10">
        <v>81.510000000000005</v>
      </c>
      <c r="AA10" s="10">
        <v>82.67</v>
      </c>
      <c r="AB10" s="95">
        <v>7053300</v>
      </c>
      <c r="AC10" s="10">
        <v>82.17</v>
      </c>
      <c r="AD10" s="2"/>
      <c r="AE10" s="138">
        <f t="shared" si="0"/>
        <v>1.1821204285186626E-2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42744</v>
      </c>
      <c r="X11" s="10">
        <v>82.2</v>
      </c>
      <c r="Y11" s="10">
        <v>82.38</v>
      </c>
      <c r="Z11" s="10">
        <v>81.16</v>
      </c>
      <c r="AA11" s="10">
        <v>81.7</v>
      </c>
      <c r="AB11" s="95">
        <v>6847600</v>
      </c>
      <c r="AC11" s="10">
        <v>81.209999999999994</v>
      </c>
      <c r="AD11" s="2"/>
      <c r="AE11" s="138">
        <f t="shared" si="0"/>
        <v>-6.1192020560518756E-3</v>
      </c>
    </row>
    <row r="12" spans="1:31" x14ac:dyDescent="0.25">
      <c r="H12" s="72"/>
      <c r="W12" s="133">
        <v>42741</v>
      </c>
      <c r="X12" s="10">
        <v>81.41</v>
      </c>
      <c r="Y12" s="10">
        <v>82.46</v>
      </c>
      <c r="Z12" s="10">
        <v>80.94</v>
      </c>
      <c r="AA12" s="10">
        <v>82.2</v>
      </c>
      <c r="AB12" s="95">
        <v>7087100</v>
      </c>
      <c r="AC12" s="10">
        <v>81.709999999999994</v>
      </c>
      <c r="AD12" s="2"/>
      <c r="AE12" s="138">
        <f t="shared" si="0"/>
        <v>9.6379587297663605E-3</v>
      </c>
    </row>
    <row r="13" spans="1:31" x14ac:dyDescent="0.25">
      <c r="H13" s="72"/>
      <c r="W13" s="133">
        <v>42740</v>
      </c>
      <c r="X13" s="10">
        <v>79.849999999999994</v>
      </c>
      <c r="Y13" s="10">
        <v>81.52</v>
      </c>
      <c r="Z13" s="10">
        <v>78.8</v>
      </c>
      <c r="AA13" s="10">
        <v>81.42</v>
      </c>
      <c r="AB13" s="95">
        <v>8805400</v>
      </c>
      <c r="AC13" s="10">
        <v>80.930000000000007</v>
      </c>
      <c r="AD13" s="2"/>
      <c r="AE13" s="138">
        <f t="shared" si="0"/>
        <v>2.0941087422732485E-2</v>
      </c>
    </row>
    <row r="14" spans="1:31" x14ac:dyDescent="0.25">
      <c r="H14" s="72"/>
      <c r="W14" s="133">
        <v>42739</v>
      </c>
      <c r="X14" s="10">
        <v>80.34</v>
      </c>
      <c r="Y14" s="10">
        <v>80.42</v>
      </c>
      <c r="Z14" s="10">
        <v>79.44</v>
      </c>
      <c r="AA14" s="10">
        <v>79.75</v>
      </c>
      <c r="AB14" s="95">
        <v>7101800</v>
      </c>
      <c r="AC14" s="10">
        <v>79.27</v>
      </c>
      <c r="AD14" s="2"/>
      <c r="AE14" s="138">
        <f t="shared" si="0"/>
        <v>-7.5122073369225939E-3</v>
      </c>
    </row>
    <row r="15" spans="1:31" x14ac:dyDescent="0.25">
      <c r="H15" s="72"/>
      <c r="W15" s="133">
        <v>42738</v>
      </c>
      <c r="X15" s="10">
        <v>79.58</v>
      </c>
      <c r="Y15" s="10">
        <v>80.45</v>
      </c>
      <c r="Z15" s="10">
        <v>78.97</v>
      </c>
      <c r="AA15" s="10">
        <v>80.349999999999994</v>
      </c>
      <c r="AB15" s="95">
        <v>5922800</v>
      </c>
      <c r="AC15" s="10">
        <v>79.87</v>
      </c>
      <c r="AD15" s="2"/>
      <c r="AE15" s="138">
        <f t="shared" si="0"/>
        <v>1.8230494645589124E-2</v>
      </c>
    </row>
    <row r="16" spans="1:31" x14ac:dyDescent="0.25">
      <c r="H16" s="72"/>
      <c r="W16" s="133">
        <v>42734</v>
      </c>
      <c r="X16" s="10">
        <v>78.959999999999994</v>
      </c>
      <c r="Y16" s="10">
        <v>79.31</v>
      </c>
      <c r="Z16" s="10">
        <v>78.459999999999994</v>
      </c>
      <c r="AA16" s="10">
        <v>78.91</v>
      </c>
      <c r="AB16" s="95">
        <v>4326100</v>
      </c>
      <c r="AC16" s="10">
        <v>78.44</v>
      </c>
      <c r="AD16" s="2"/>
      <c r="AE16" s="138">
        <f t="shared" si="0"/>
        <v>-1.1460588310200359E-3</v>
      </c>
    </row>
    <row r="17" spans="1:31" x14ac:dyDescent="0.25">
      <c r="W17" s="133">
        <v>42733</v>
      </c>
      <c r="X17" s="10">
        <v>78.89</v>
      </c>
      <c r="Y17" s="10">
        <v>79.47</v>
      </c>
      <c r="Z17" s="10">
        <v>78.81</v>
      </c>
      <c r="AA17" s="10">
        <v>79</v>
      </c>
      <c r="AB17" s="95">
        <v>3580000</v>
      </c>
      <c r="AC17" s="10">
        <v>78.53</v>
      </c>
      <c r="AD17" s="2"/>
      <c r="AE17" s="138">
        <f t="shared" si="0"/>
        <v>-3.8187372708764489E-4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42732</v>
      </c>
      <c r="X18" s="10">
        <v>79.3</v>
      </c>
      <c r="Y18" s="10">
        <v>79.37</v>
      </c>
      <c r="Z18" s="10">
        <v>78.64</v>
      </c>
      <c r="AA18" s="10">
        <v>79.040000000000006</v>
      </c>
      <c r="AB18" s="95">
        <v>3390700</v>
      </c>
      <c r="AC18" s="10">
        <v>78.56</v>
      </c>
      <c r="AD18" s="2"/>
      <c r="AE18" s="138">
        <f t="shared" si="0"/>
        <v>-3.1721862707778659E-3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42731</v>
      </c>
      <c r="X19" s="10">
        <v>78.95</v>
      </c>
      <c r="Y19" s="10">
        <v>79.72</v>
      </c>
      <c r="Z19" s="10">
        <v>78.900000000000006</v>
      </c>
      <c r="AA19" s="10">
        <v>79.290000000000006</v>
      </c>
      <c r="AB19" s="95">
        <v>2947700</v>
      </c>
      <c r="AC19" s="10">
        <v>78.81</v>
      </c>
      <c r="AD19" s="2"/>
      <c r="AE19" s="138">
        <f t="shared" si="0"/>
        <v>1.9069412662091612E-3</v>
      </c>
    </row>
    <row r="20" spans="1:31" x14ac:dyDescent="0.25">
      <c r="W20" s="133">
        <v>42727</v>
      </c>
      <c r="X20" s="10">
        <v>78.790000000000006</v>
      </c>
      <c r="Y20" s="10">
        <v>79.3</v>
      </c>
      <c r="Z20" s="10">
        <v>78.69</v>
      </c>
      <c r="AA20" s="10">
        <v>79.14</v>
      </c>
      <c r="AB20" s="95">
        <v>2754200</v>
      </c>
      <c r="AC20" s="10">
        <v>78.66</v>
      </c>
      <c r="AD20" s="2"/>
      <c r="AE20" s="138">
        <f t="shared" si="0"/>
        <v>4.3411644535240601E-3</v>
      </c>
    </row>
    <row r="21" spans="1:31" x14ac:dyDescent="0.25">
      <c r="W21" s="133">
        <v>42726</v>
      </c>
      <c r="X21" s="10">
        <v>79.540000000000006</v>
      </c>
      <c r="Y21" s="10">
        <v>79.75</v>
      </c>
      <c r="Z21" s="10">
        <v>78.5</v>
      </c>
      <c r="AA21" s="10">
        <v>78.790000000000006</v>
      </c>
      <c r="AB21" s="95">
        <v>5850400</v>
      </c>
      <c r="AC21" s="10">
        <v>78.319999999999993</v>
      </c>
      <c r="AD21" s="2"/>
      <c r="AE21" s="138">
        <f t="shared" si="0"/>
        <v>-1.3229179790853141E-2</v>
      </c>
    </row>
    <row r="22" spans="1:31" x14ac:dyDescent="0.25">
      <c r="W22" s="133">
        <v>42725</v>
      </c>
      <c r="X22" s="10">
        <v>79.53</v>
      </c>
      <c r="Y22" s="10">
        <v>80.19</v>
      </c>
      <c r="Z22" s="10">
        <v>79.040000000000006</v>
      </c>
      <c r="AA22" s="10">
        <v>79.849999999999994</v>
      </c>
      <c r="AB22" s="95">
        <v>5808100</v>
      </c>
      <c r="AC22" s="10">
        <v>79.37</v>
      </c>
      <c r="AD22" s="2"/>
      <c r="AE22" s="138">
        <f t="shared" si="0"/>
        <v>1.2600806451623647E-4</v>
      </c>
    </row>
    <row r="23" spans="1:31" x14ac:dyDescent="0.25">
      <c r="W23" s="133">
        <v>42724</v>
      </c>
      <c r="X23" s="10">
        <v>79.98</v>
      </c>
      <c r="Y23" s="10">
        <v>81.239999999999995</v>
      </c>
      <c r="Z23" s="10">
        <v>79.67</v>
      </c>
      <c r="AA23" s="10">
        <v>79.84</v>
      </c>
      <c r="AB23" s="95">
        <v>6109100</v>
      </c>
      <c r="AC23" s="10">
        <v>79.36</v>
      </c>
      <c r="AD23" s="2"/>
      <c r="AE23" s="138">
        <f t="shared" si="0"/>
        <v>-1.1327879169289456E-3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79.28</v>
      </c>
      <c r="Y24" s="10">
        <v>80.22</v>
      </c>
      <c r="Z24" s="10">
        <v>79.27</v>
      </c>
      <c r="AA24" s="10">
        <v>79.930000000000007</v>
      </c>
      <c r="AB24" s="95">
        <v>6936100</v>
      </c>
      <c r="AC24" s="10">
        <v>79.45</v>
      </c>
      <c r="AD24" s="2"/>
      <c r="AE24" s="138">
        <f t="shared" si="0"/>
        <v>4.6788062721294654E-3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42720</v>
      </c>
      <c r="X25" s="10">
        <v>78.650000000000006</v>
      </c>
      <c r="Y25" s="10">
        <v>79.7</v>
      </c>
      <c r="Z25" s="10">
        <v>78.61</v>
      </c>
      <c r="AA25" s="10">
        <v>79.56</v>
      </c>
      <c r="AB25" s="95">
        <v>11546800</v>
      </c>
      <c r="AC25" s="10">
        <v>79.08</v>
      </c>
      <c r="AD25" s="2"/>
      <c r="AE25" s="138">
        <f t="shared" si="0"/>
        <v>1.6191210485736462E-2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42719</v>
      </c>
      <c r="X26" s="10">
        <v>78</v>
      </c>
      <c r="Y26" s="10">
        <v>79.239999999999995</v>
      </c>
      <c r="Z26" s="10">
        <v>76.11</v>
      </c>
      <c r="AA26" s="10">
        <v>78.290000000000006</v>
      </c>
      <c r="AB26" s="95">
        <v>10621500</v>
      </c>
      <c r="AC26" s="10">
        <v>77.819999999999993</v>
      </c>
      <c r="AD26" s="2"/>
      <c r="AE26" s="138">
        <f t="shared" si="0"/>
        <v>-8.5361192508599526E-3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42718</v>
      </c>
      <c r="X27" s="10">
        <v>80.3</v>
      </c>
      <c r="Y27" s="10">
        <v>81.13</v>
      </c>
      <c r="Z27" s="10">
        <v>78.52</v>
      </c>
      <c r="AA27" s="10">
        <v>78.959999999999994</v>
      </c>
      <c r="AB27" s="95">
        <v>7278800</v>
      </c>
      <c r="AC27" s="10">
        <v>78.489999999999995</v>
      </c>
      <c r="AD27" s="2"/>
      <c r="AE27" s="138">
        <f t="shared" si="0"/>
        <v>-1.4811095770051574E-2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42717</v>
      </c>
      <c r="X28" s="10">
        <v>79.709999999999994</v>
      </c>
      <c r="Y28" s="10">
        <v>80.31</v>
      </c>
      <c r="Z28" s="10">
        <v>78.73</v>
      </c>
      <c r="AA28" s="10">
        <v>80.150000000000006</v>
      </c>
      <c r="AB28" s="95">
        <v>8152500</v>
      </c>
      <c r="AC28" s="10">
        <v>79.67</v>
      </c>
      <c r="AD28" s="2"/>
      <c r="AE28" s="138">
        <f t="shared" si="0"/>
        <v>5.29968454258678E-3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42716</v>
      </c>
      <c r="X29" s="10">
        <v>79.459999999999994</v>
      </c>
      <c r="Y29" s="10">
        <v>80.53</v>
      </c>
      <c r="Z29" s="10">
        <v>79.260000000000005</v>
      </c>
      <c r="AA29" s="10">
        <v>79.73</v>
      </c>
      <c r="AB29" s="95">
        <v>6619800</v>
      </c>
      <c r="AC29" s="10">
        <v>79.25</v>
      </c>
      <c r="AD29" s="2"/>
      <c r="AE29" s="138">
        <f t="shared" si="0"/>
        <v>-5.0219711236660913E-3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42713</v>
      </c>
      <c r="X30" s="10">
        <v>78.88</v>
      </c>
      <c r="Y30" s="10">
        <v>80.540000000000006</v>
      </c>
      <c r="Z30" s="10">
        <v>78.739999999999995</v>
      </c>
      <c r="AA30" s="10">
        <v>80.13</v>
      </c>
      <c r="AB30" s="95">
        <v>6730100</v>
      </c>
      <c r="AC30" s="10">
        <v>79.650000000000006</v>
      </c>
      <c r="AD30" s="2"/>
      <c r="AE30" s="138">
        <f t="shared" si="0"/>
        <v>2.5888717156105079E-2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42712</v>
      </c>
      <c r="X31" s="10">
        <v>80.53</v>
      </c>
      <c r="Y31" s="10">
        <v>80.56</v>
      </c>
      <c r="Z31" s="10">
        <v>77.39</v>
      </c>
      <c r="AA31" s="10">
        <v>78.11</v>
      </c>
      <c r="AB31" s="95">
        <v>16110200</v>
      </c>
      <c r="AC31" s="10">
        <v>77.64</v>
      </c>
      <c r="AD31" s="2"/>
      <c r="AE31" s="138">
        <f t="shared" si="0"/>
        <v>-3.010618363522799E-2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42711</v>
      </c>
      <c r="X32" s="10">
        <v>79.239999999999995</v>
      </c>
      <c r="Y32" s="10">
        <v>80.61</v>
      </c>
      <c r="Z32" s="10">
        <v>78.489999999999995</v>
      </c>
      <c r="AA32" s="10">
        <v>80.53</v>
      </c>
      <c r="AB32" s="95">
        <v>10532900</v>
      </c>
      <c r="AC32" s="10">
        <v>80.05</v>
      </c>
      <c r="AD32" s="2"/>
      <c r="AE32" s="138">
        <f t="shared" si="0"/>
        <v>1.4061312389156422E-2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42710</v>
      </c>
      <c r="X33" s="10">
        <v>78.599999999999994</v>
      </c>
      <c r="Y33" s="10">
        <v>79.78</v>
      </c>
      <c r="Z33" s="10">
        <v>78.260000000000005</v>
      </c>
      <c r="AA33" s="10">
        <v>79.42</v>
      </c>
      <c r="AB33" s="95">
        <v>9800700</v>
      </c>
      <c r="AC33" s="10">
        <v>78.94</v>
      </c>
      <c r="AD33" s="2"/>
      <c r="AE33" s="138">
        <f t="shared" si="0"/>
        <v>1.8317853457172406E-2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42709</v>
      </c>
      <c r="X34" s="10">
        <v>77.569999999999993</v>
      </c>
      <c r="Y34" s="10">
        <v>78.28</v>
      </c>
      <c r="Z34" s="10">
        <v>76.88</v>
      </c>
      <c r="AA34" s="10">
        <v>77.989999999999995</v>
      </c>
      <c r="AB34" s="95">
        <v>9173900</v>
      </c>
      <c r="AC34" s="10">
        <v>77.52</v>
      </c>
      <c r="AD34" s="2"/>
      <c r="AE34" s="138">
        <f t="shared" si="0"/>
        <v>4.7958522359039524E-3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42706</v>
      </c>
      <c r="X35" s="10">
        <v>77.13</v>
      </c>
      <c r="Y35" s="10">
        <v>78.31</v>
      </c>
      <c r="Z35" s="10">
        <v>76.349999999999994</v>
      </c>
      <c r="AA35" s="10">
        <v>77.62</v>
      </c>
      <c r="AB35" s="95">
        <v>11911300</v>
      </c>
      <c r="AC35" s="10">
        <v>77.150000000000006</v>
      </c>
      <c r="AD35" s="2"/>
      <c r="AE35" s="138">
        <f t="shared" si="0"/>
        <v>1.1140235910878316E-2</v>
      </c>
    </row>
    <row r="36" spans="2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" si="32">C36*(E36-D36)</f>
        <v>-305.59999999999945</v>
      </c>
      <c r="G36" s="40">
        <f t="shared" ref="G36" si="33">D36*C36</f>
        <v>6830.4</v>
      </c>
      <c r="H36" s="231">
        <f t="shared" ref="H36" si="34">(E36-D36)/D36</f>
        <v>-4.4741157179667292E-2</v>
      </c>
      <c r="I36" s="40"/>
      <c r="W36" s="133">
        <v>42705</v>
      </c>
      <c r="X36" s="10">
        <v>76.62</v>
      </c>
      <c r="Y36" s="10">
        <v>77.13</v>
      </c>
      <c r="Z36" s="10">
        <v>76.290000000000006</v>
      </c>
      <c r="AA36" s="10">
        <v>76.760000000000005</v>
      </c>
      <c r="AB36" s="95">
        <v>7316300</v>
      </c>
      <c r="AC36" s="10">
        <v>76.3</v>
      </c>
      <c r="AD36" s="2"/>
      <c r="AE36" s="138">
        <f t="shared" si="0"/>
        <v>-1.700902786863967E-3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76.19</v>
      </c>
      <c r="Y37" s="10">
        <v>77.37</v>
      </c>
      <c r="Z37" s="10">
        <v>75.92</v>
      </c>
      <c r="AA37" s="10">
        <v>76.89</v>
      </c>
      <c r="AB37" s="95">
        <v>12781800</v>
      </c>
      <c r="AC37" s="10">
        <v>76.430000000000007</v>
      </c>
      <c r="AD37" s="2"/>
      <c r="AE37" s="138">
        <f t="shared" si="0"/>
        <v>1.3391673296208051E-2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75.89</v>
      </c>
      <c r="Y38" s="10">
        <v>76.069999999999993</v>
      </c>
      <c r="Z38" s="10">
        <v>75</v>
      </c>
      <c r="AA38" s="10">
        <v>75.88</v>
      </c>
      <c r="AB38" s="95">
        <v>8649600</v>
      </c>
      <c r="AC38" s="10">
        <v>75.42</v>
      </c>
      <c r="AD38" s="2"/>
      <c r="AE38" s="138">
        <f t="shared" si="0"/>
        <v>1.4664334723530237E-2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73.73</v>
      </c>
      <c r="Y39" s="10">
        <v>75</v>
      </c>
      <c r="Z39" s="10">
        <v>73.66</v>
      </c>
      <c r="AA39" s="10">
        <v>74.78</v>
      </c>
      <c r="AB39" s="95">
        <v>8625100</v>
      </c>
      <c r="AC39" s="10">
        <v>74.33</v>
      </c>
      <c r="AD39" s="2"/>
      <c r="AE39" s="138">
        <f t="shared" si="0"/>
        <v>9.7812797174297028E-3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74.010000000000005</v>
      </c>
      <c r="Y40" s="10">
        <v>74.290000000000006</v>
      </c>
      <c r="Z40" s="10">
        <v>73.55</v>
      </c>
      <c r="AA40" s="10">
        <v>74.06</v>
      </c>
      <c r="AB40" s="95">
        <v>3529200</v>
      </c>
      <c r="AC40" s="10">
        <v>73.61</v>
      </c>
      <c r="AD40" s="2"/>
      <c r="AE40" s="138">
        <f t="shared" si="0"/>
        <v>5.1891301379216603E-3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89.716000000000008</v>
      </c>
      <c r="Q41" s="2"/>
      <c r="W41" s="133">
        <v>42697</v>
      </c>
      <c r="X41" s="10">
        <v>73.38</v>
      </c>
      <c r="Y41" s="10">
        <v>74.03</v>
      </c>
      <c r="Z41" s="10">
        <v>72.86</v>
      </c>
      <c r="AA41" s="10">
        <v>73.67</v>
      </c>
      <c r="AB41" s="95">
        <v>6572900</v>
      </c>
      <c r="AC41" s="10">
        <v>73.23</v>
      </c>
      <c r="AD41" s="2"/>
      <c r="AE41" s="138">
        <f t="shared" si="0"/>
        <v>1.0936431989063689E-3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88.900400000000005</v>
      </c>
      <c r="Q42" s="2"/>
      <c r="T42" s="91" t="s">
        <v>113</v>
      </c>
      <c r="W42" s="133">
        <v>42696</v>
      </c>
      <c r="X42" s="10">
        <v>72.930000000000007</v>
      </c>
      <c r="Y42" s="10">
        <v>74.099999999999994</v>
      </c>
      <c r="Z42" s="10">
        <v>72.83</v>
      </c>
      <c r="AA42" s="10">
        <v>73.59</v>
      </c>
      <c r="AB42" s="95">
        <v>12425200</v>
      </c>
      <c r="AC42" s="10">
        <v>73.150000000000006</v>
      </c>
      <c r="AD42" s="2"/>
      <c r="AE42" s="138">
        <f t="shared" si="0"/>
        <v>-8.1355932203388548E-3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88.084800000000001</v>
      </c>
      <c r="Q43" s="2"/>
      <c r="T43" s="128" t="s">
        <v>98</v>
      </c>
      <c r="U43" s="129">
        <v>82.7</v>
      </c>
      <c r="W43" s="133">
        <v>42695</v>
      </c>
      <c r="X43" s="10">
        <v>74.040000000000006</v>
      </c>
      <c r="Y43" s="10">
        <v>74.48</v>
      </c>
      <c r="Z43" s="10">
        <v>73.38</v>
      </c>
      <c r="AA43" s="10">
        <v>74.2</v>
      </c>
      <c r="AB43" s="95">
        <v>8025600</v>
      </c>
      <c r="AC43" s="10">
        <v>73.75</v>
      </c>
      <c r="AD43" s="2"/>
      <c r="AE43" s="138">
        <f t="shared" si="0"/>
        <v>2.0380434782609758E-3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87.269200000000012</v>
      </c>
      <c r="Q44" s="2"/>
      <c r="T44" s="93" t="s">
        <v>99</v>
      </c>
      <c r="U44" s="130">
        <v>83.29</v>
      </c>
      <c r="W44" s="133">
        <v>42692</v>
      </c>
      <c r="X44" s="10">
        <v>74.03</v>
      </c>
      <c r="Y44" s="10">
        <v>74.56</v>
      </c>
      <c r="Z44" s="10">
        <v>73.67</v>
      </c>
      <c r="AA44" s="10">
        <v>74.040000000000006</v>
      </c>
      <c r="AB44" s="95">
        <v>7498500</v>
      </c>
      <c r="AC44" s="10">
        <v>73.599999999999994</v>
      </c>
      <c r="AD44" s="2"/>
      <c r="AE44" s="138">
        <f t="shared" si="0"/>
        <v>-2.9802221620156555E-3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86.453600000000009</v>
      </c>
      <c r="Q45" s="2"/>
      <c r="T45" s="93" t="s">
        <v>100</v>
      </c>
      <c r="U45" s="130" t="s">
        <v>129</v>
      </c>
      <c r="W45" s="133">
        <v>42691</v>
      </c>
      <c r="X45" s="10">
        <v>74.349999999999994</v>
      </c>
      <c r="Y45" s="10">
        <v>74.73</v>
      </c>
      <c r="Z45" s="10">
        <v>74.12</v>
      </c>
      <c r="AA45" s="10">
        <v>74.27</v>
      </c>
      <c r="AB45" s="95">
        <v>8305400</v>
      </c>
      <c r="AC45" s="10">
        <v>73.819999999999993</v>
      </c>
      <c r="AD45" s="2"/>
      <c r="AE45" s="138">
        <f t="shared" si="0"/>
        <v>-3.9131021454595905E-3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85.638000000000005</v>
      </c>
      <c r="Q46" s="2"/>
      <c r="T46" s="93" t="s">
        <v>101</v>
      </c>
      <c r="U46" s="130" t="s">
        <v>129</v>
      </c>
      <c r="W46" s="133">
        <v>42690</v>
      </c>
      <c r="X46" s="10">
        <v>75.11</v>
      </c>
      <c r="Y46" s="10">
        <v>75.400000000000006</v>
      </c>
      <c r="Z46" s="10">
        <v>74.5</v>
      </c>
      <c r="AA46" s="10">
        <v>74.56</v>
      </c>
      <c r="AB46" s="95">
        <v>7551100</v>
      </c>
      <c r="AC46" s="10">
        <v>74.11</v>
      </c>
      <c r="AD46" s="2"/>
      <c r="AE46" s="138">
        <f t="shared" si="0"/>
        <v>-6.4351789784153901E-3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84.822400000000002</v>
      </c>
      <c r="Q47" s="2"/>
      <c r="T47" s="93" t="s">
        <v>102</v>
      </c>
      <c r="U47" s="130">
        <v>87.95</v>
      </c>
      <c r="W47" s="133">
        <v>42689</v>
      </c>
      <c r="X47" s="10">
        <v>75.650000000000006</v>
      </c>
      <c r="Y47" s="10">
        <v>75.75</v>
      </c>
      <c r="Z47" s="10">
        <v>74.27</v>
      </c>
      <c r="AA47" s="10">
        <v>75.040000000000006</v>
      </c>
      <c r="AB47" s="95">
        <v>10465200</v>
      </c>
      <c r="AC47" s="10">
        <v>74.59</v>
      </c>
      <c r="AD47" s="2"/>
      <c r="AE47" s="138">
        <f t="shared" si="0"/>
        <v>-1.2576118612655618E-2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84.006799999999998</v>
      </c>
      <c r="Q48" s="2"/>
      <c r="T48" s="93" t="s">
        <v>103</v>
      </c>
      <c r="U48" s="130">
        <v>0.70903099999999997</v>
      </c>
      <c r="W48" s="133">
        <v>42688</v>
      </c>
      <c r="X48" s="10">
        <v>74.45</v>
      </c>
      <c r="Y48" s="10">
        <v>76.540000000000006</v>
      </c>
      <c r="Z48" s="10">
        <v>74.45</v>
      </c>
      <c r="AA48" s="10">
        <v>76</v>
      </c>
      <c r="AB48" s="95">
        <v>10521900</v>
      </c>
      <c r="AC48" s="10">
        <v>75.540000000000006</v>
      </c>
      <c r="AD48" s="2"/>
      <c r="AE48" s="138">
        <f t="shared" si="0"/>
        <v>1.205787781350498E-2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83.191200000000009</v>
      </c>
      <c r="Q49" s="2"/>
      <c r="T49" s="93" t="s">
        <v>104</v>
      </c>
      <c r="U49" s="130" t="s">
        <v>411</v>
      </c>
      <c r="W49" s="133">
        <v>42685</v>
      </c>
      <c r="X49" s="10">
        <v>77.099999999999994</v>
      </c>
      <c r="Y49" s="10">
        <v>77.2</v>
      </c>
      <c r="Z49" s="10">
        <v>74.709999999999994</v>
      </c>
      <c r="AA49" s="10">
        <v>75.09</v>
      </c>
      <c r="AB49" s="95">
        <v>9565800</v>
      </c>
      <c r="AC49" s="10">
        <v>74.64</v>
      </c>
      <c r="AD49" s="2"/>
      <c r="AE49" s="138">
        <f t="shared" si="0"/>
        <v>-2.8378026555584412E-2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82.375600000000006</v>
      </c>
      <c r="Q50" s="2"/>
      <c r="T50" s="93"/>
      <c r="U50" s="130"/>
      <c r="W50" s="133">
        <v>42684</v>
      </c>
      <c r="X50" s="10">
        <v>77.03</v>
      </c>
      <c r="Y50" s="10">
        <v>77.7</v>
      </c>
      <c r="Z50" s="10">
        <v>76.56</v>
      </c>
      <c r="AA50" s="10">
        <v>77.28</v>
      </c>
      <c r="AB50" s="95">
        <v>12664100</v>
      </c>
      <c r="AC50" s="10">
        <v>76.819999999999993</v>
      </c>
      <c r="AD50" s="2"/>
      <c r="AE50" s="138">
        <f t="shared" si="0"/>
        <v>9.4612352168199632E-3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81.56</v>
      </c>
      <c r="Q51" s="2"/>
      <c r="T51" s="93" t="s">
        <v>105</v>
      </c>
      <c r="U51" s="130" t="s">
        <v>500</v>
      </c>
      <c r="W51" s="133">
        <v>42683</v>
      </c>
      <c r="X51" s="10">
        <v>74.23</v>
      </c>
      <c r="Y51" s="10">
        <v>77.12</v>
      </c>
      <c r="Z51" s="10">
        <v>74.2</v>
      </c>
      <c r="AA51" s="10">
        <v>76.56</v>
      </c>
      <c r="AB51" s="95">
        <v>20300100</v>
      </c>
      <c r="AC51" s="10">
        <v>76.099999999999994</v>
      </c>
      <c r="AD51" s="2"/>
      <c r="AE51" s="138">
        <f t="shared" si="0"/>
        <v>4.1182104255027996E-2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80.744399999999999</v>
      </c>
      <c r="Q52" s="2"/>
      <c r="T52" s="93" t="s">
        <v>106</v>
      </c>
      <c r="U52" s="130" t="s">
        <v>347</v>
      </c>
      <c r="W52" s="133">
        <v>42682</v>
      </c>
      <c r="X52" s="10">
        <v>69.7</v>
      </c>
      <c r="Y52" s="10">
        <v>74.989999999999995</v>
      </c>
      <c r="Z52" s="10">
        <v>69.3</v>
      </c>
      <c r="AA52" s="10">
        <v>73.53</v>
      </c>
      <c r="AB52" s="95">
        <v>50234400</v>
      </c>
      <c r="AC52" s="10">
        <v>73.09</v>
      </c>
      <c r="AD52" s="2"/>
      <c r="AE52" s="138">
        <f t="shared" si="0"/>
        <v>-0.1182289781638316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79.928799999999995</v>
      </c>
      <c r="Q53" s="2"/>
      <c r="T53" s="93" t="s">
        <v>107</v>
      </c>
      <c r="U53" s="131">
        <v>8004129</v>
      </c>
      <c r="W53" s="133">
        <v>42681</v>
      </c>
      <c r="X53" s="10">
        <v>83.37</v>
      </c>
      <c r="Y53" s="10">
        <v>83.84</v>
      </c>
      <c r="Z53" s="10">
        <v>82.67</v>
      </c>
      <c r="AA53" s="10">
        <v>83.39</v>
      </c>
      <c r="AB53" s="95">
        <v>8457000</v>
      </c>
      <c r="AC53" s="10">
        <v>82.89</v>
      </c>
      <c r="AD53" s="2"/>
      <c r="AE53" s="138">
        <f t="shared" si="0"/>
        <v>1.3077487166951896E-2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79.113200000000006</v>
      </c>
      <c r="T54" s="93" t="s">
        <v>110</v>
      </c>
      <c r="U54" s="131">
        <v>8488610</v>
      </c>
      <c r="W54" s="133">
        <v>42678</v>
      </c>
      <c r="X54" s="10">
        <v>81.760000000000005</v>
      </c>
      <c r="Y54" s="10">
        <v>82.87</v>
      </c>
      <c r="Z54" s="10">
        <v>81.59</v>
      </c>
      <c r="AA54" s="10">
        <v>82.31</v>
      </c>
      <c r="AB54" s="95">
        <v>8227400</v>
      </c>
      <c r="AC54" s="10">
        <v>81.819999999999993</v>
      </c>
      <c r="AD54" s="2"/>
      <c r="AE54" s="138">
        <f t="shared" si="0"/>
        <v>9.1267883571779507E-3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78.297600000000003</v>
      </c>
      <c r="T55" s="93" t="s">
        <v>108</v>
      </c>
      <c r="U55" s="130" t="s">
        <v>501</v>
      </c>
      <c r="W55" s="133">
        <v>42677</v>
      </c>
      <c r="X55" s="10">
        <v>84.34</v>
      </c>
      <c r="Y55" s="10">
        <v>84.89</v>
      </c>
      <c r="Z55" s="10">
        <v>81.25</v>
      </c>
      <c r="AA55" s="10">
        <v>81.569999999999993</v>
      </c>
      <c r="AB55" s="95">
        <v>12603900</v>
      </c>
      <c r="AC55" s="10">
        <v>81.08</v>
      </c>
      <c r="AD55" s="2"/>
      <c r="AE55" s="138">
        <f t="shared" si="0"/>
        <v>-2.8400239664469806E-2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77.481999999999999</v>
      </c>
      <c r="T56" s="93" t="s">
        <v>111</v>
      </c>
      <c r="U56" s="130">
        <v>17.48</v>
      </c>
      <c r="W56" s="133">
        <v>42676</v>
      </c>
      <c r="X56" s="10">
        <v>83.57</v>
      </c>
      <c r="Y56" s="10">
        <v>84.24</v>
      </c>
      <c r="Z56" s="10">
        <v>82.84</v>
      </c>
      <c r="AA56" s="10">
        <v>83.95</v>
      </c>
      <c r="AB56" s="95">
        <v>6132100</v>
      </c>
      <c r="AC56" s="10">
        <v>83.45</v>
      </c>
      <c r="AD56" s="2"/>
      <c r="AE56" s="138">
        <f t="shared" si="0"/>
        <v>6.0277275467148783E-3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76.666399999999996</v>
      </c>
      <c r="T57" s="93" t="s">
        <v>112</v>
      </c>
      <c r="U57" s="130">
        <v>4.67</v>
      </c>
      <c r="W57" s="133">
        <v>42675</v>
      </c>
      <c r="X57" s="10">
        <v>84.34</v>
      </c>
      <c r="Y57" s="10">
        <v>84.69</v>
      </c>
      <c r="Z57" s="10">
        <v>83.22</v>
      </c>
      <c r="AA57" s="10">
        <v>83.45</v>
      </c>
      <c r="AB57" s="95">
        <v>6212400</v>
      </c>
      <c r="AC57" s="10">
        <v>82.95</v>
      </c>
      <c r="AD57" s="2"/>
      <c r="AE57" s="138">
        <f t="shared" si="0"/>
        <v>-7.6564182318459295E-3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75.850800000000007</v>
      </c>
      <c r="T58" s="93" t="s">
        <v>109</v>
      </c>
      <c r="U58" s="130" t="s">
        <v>502</v>
      </c>
      <c r="W58" s="133">
        <v>42674</v>
      </c>
      <c r="X58" s="10">
        <v>83.38</v>
      </c>
      <c r="Y58" s="10">
        <v>84.52</v>
      </c>
      <c r="Z58" s="10">
        <v>83.1</v>
      </c>
      <c r="AA58" s="10">
        <v>84.1</v>
      </c>
      <c r="AB58" s="95">
        <v>7425600</v>
      </c>
      <c r="AC58" s="10">
        <v>83.59</v>
      </c>
      <c r="AD58" s="2"/>
      <c r="AE58" s="138">
        <f t="shared" si="0"/>
        <v>8.8100410330678169E-3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75.035200000000003</v>
      </c>
      <c r="W59" s="133">
        <v>42671</v>
      </c>
      <c r="X59" s="10">
        <v>85.35</v>
      </c>
      <c r="Y59" s="10">
        <v>85.49</v>
      </c>
      <c r="Z59" s="10">
        <v>82.55</v>
      </c>
      <c r="AA59" s="10">
        <v>83.36</v>
      </c>
      <c r="AB59" s="95">
        <v>17206700</v>
      </c>
      <c r="AC59" s="10">
        <v>82.86</v>
      </c>
      <c r="AD59" s="2"/>
      <c r="AE59" s="138">
        <f t="shared" si="0"/>
        <v>-4.3959847698165522E-2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74.2196</v>
      </c>
      <c r="W60" s="133">
        <v>42670</v>
      </c>
      <c r="X60" s="10">
        <v>87.72</v>
      </c>
      <c r="Y60" s="10">
        <v>87.93</v>
      </c>
      <c r="Z60" s="10">
        <v>86.91</v>
      </c>
      <c r="AA60" s="10">
        <v>87.19</v>
      </c>
      <c r="AB60" s="95">
        <v>3570600</v>
      </c>
      <c r="AC60" s="10">
        <v>86.67</v>
      </c>
      <c r="AD60" s="2"/>
      <c r="AE60" s="138">
        <f t="shared" si="0"/>
        <v>-4.2509191176470784E-3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73.404000000000011</v>
      </c>
      <c r="W61" s="133">
        <v>42669</v>
      </c>
      <c r="X61" s="10">
        <v>87.48</v>
      </c>
      <c r="Y61" s="10">
        <v>87.65</v>
      </c>
      <c r="Z61" s="10">
        <v>87.01</v>
      </c>
      <c r="AA61" s="10">
        <v>87.57</v>
      </c>
      <c r="AB61" s="95">
        <v>3313500</v>
      </c>
      <c r="AC61" s="10">
        <v>87.04</v>
      </c>
      <c r="AD61" s="2"/>
      <c r="AE61" s="138">
        <f t="shared" si="0"/>
        <v>1.8416206261511192E-3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87.8</v>
      </c>
      <c r="Y62" s="10">
        <v>88.21</v>
      </c>
      <c r="Z62" s="10">
        <v>87.29</v>
      </c>
      <c r="AA62" s="10">
        <v>87.41</v>
      </c>
      <c r="AB62" s="95">
        <v>3803700</v>
      </c>
      <c r="AC62" s="10">
        <v>86.88</v>
      </c>
      <c r="AD62" s="2"/>
      <c r="AE62" s="138">
        <f t="shared" si="0"/>
        <v>-6.7451697724935089E-3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87.64</v>
      </c>
      <c r="Y63" s="10">
        <v>88.58</v>
      </c>
      <c r="Z63" s="10">
        <v>87.64</v>
      </c>
      <c r="AA63" s="10">
        <v>88</v>
      </c>
      <c r="AB63" s="95">
        <v>4541900</v>
      </c>
      <c r="AC63" s="10">
        <v>87.47</v>
      </c>
      <c r="AD63" s="2"/>
      <c r="AE63" s="138">
        <f t="shared" si="0"/>
        <v>6.7909760589319745E-3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86.94</v>
      </c>
      <c r="Y64" s="10">
        <v>87.57</v>
      </c>
      <c r="Z64" s="10">
        <v>86.89</v>
      </c>
      <c r="AA64" s="10">
        <v>87.41</v>
      </c>
      <c r="AB64" s="95">
        <v>4599500</v>
      </c>
      <c r="AC64" s="10">
        <v>86.88</v>
      </c>
      <c r="AD64" s="2"/>
      <c r="AE64" s="138">
        <f t="shared" si="0"/>
        <v>1.1523392486747497E-3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86.33</v>
      </c>
      <c r="Y65" s="10">
        <v>87.49</v>
      </c>
      <c r="Z65" s="10">
        <v>86.25</v>
      </c>
      <c r="AA65" s="10">
        <v>87.3</v>
      </c>
      <c r="AB65" s="95">
        <v>7583500</v>
      </c>
      <c r="AC65" s="10">
        <v>86.78</v>
      </c>
      <c r="AD65" s="2"/>
      <c r="AE65" s="138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42663</v>
      </c>
      <c r="X66" s="10" t="s">
        <v>328</v>
      </c>
      <c r="Y66" s="10"/>
      <c r="Z66" s="10"/>
      <c r="AA66" s="10"/>
      <c r="AB66" s="95"/>
      <c r="AC66" s="10"/>
      <c r="AD66" s="2"/>
      <c r="AE66" s="138">
        <f t="shared" si="0"/>
        <v>-1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42662</v>
      </c>
      <c r="X67" s="10">
        <v>87.4</v>
      </c>
      <c r="Y67" s="10">
        <v>87.51</v>
      </c>
      <c r="Z67" s="10">
        <v>86.15</v>
      </c>
      <c r="AA67" s="10">
        <v>86.4</v>
      </c>
      <c r="AB67" s="95">
        <v>6502800</v>
      </c>
      <c r="AC67" s="10">
        <v>85.46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42661</v>
      </c>
      <c r="X68" s="10">
        <v>87.31</v>
      </c>
      <c r="Y68" s="10">
        <v>87.51</v>
      </c>
      <c r="Z68" s="10">
        <v>86.58</v>
      </c>
      <c r="AA68" s="10">
        <v>87.19</v>
      </c>
      <c r="AB68" s="95">
        <v>4988700</v>
      </c>
      <c r="AC68" s="10">
        <v>86.24</v>
      </c>
      <c r="AD68" s="2"/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42660</v>
      </c>
      <c r="X69" s="10">
        <v>88.71</v>
      </c>
      <c r="Y69" s="10">
        <v>88.84</v>
      </c>
      <c r="Z69" s="10">
        <v>86.64</v>
      </c>
      <c r="AA69" s="10">
        <v>86.66</v>
      </c>
      <c r="AB69" s="95">
        <v>7381700</v>
      </c>
      <c r="AC69" s="10">
        <v>85.72</v>
      </c>
      <c r="AD69" s="2"/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33" priority="9">
      <formula>F48&gt;0</formula>
    </cfRule>
    <cfRule type="expression" dxfId="832" priority="10">
      <formula>F48&lt;0</formula>
    </cfRule>
  </conditionalFormatting>
  <conditionalFormatting sqref="Q7">
    <cfRule type="expression" dxfId="831" priority="7">
      <formula>Q7&gt;0</formula>
    </cfRule>
    <cfRule type="expression" dxfId="830" priority="8">
      <formula>Q7&lt;0</formula>
    </cfRule>
  </conditionalFormatting>
  <conditionalFormatting sqref="Q8">
    <cfRule type="expression" dxfId="829" priority="5">
      <formula>Q8&gt;0</formula>
    </cfRule>
    <cfRule type="expression" dxfId="828" priority="6">
      <formula>Q8&lt;0</formula>
    </cfRule>
  </conditionalFormatting>
  <conditionalFormatting sqref="F25:F47">
    <cfRule type="expression" dxfId="827" priority="3">
      <formula>F25&gt;0</formula>
    </cfRule>
    <cfRule type="expression" dxfId="826" priority="4">
      <formula>F25&lt;0</formula>
    </cfRule>
  </conditionalFormatting>
  <conditionalFormatting sqref="H25:H47">
    <cfRule type="expression" dxfId="825" priority="1">
      <formula>H25&gt;0</formula>
    </cfRule>
    <cfRule type="expression" dxfId="8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W2" s="133">
        <v>42755</v>
      </c>
      <c r="X2" s="10">
        <v>17.489999999999998</v>
      </c>
      <c r="Y2" s="10">
        <v>17.75</v>
      </c>
      <c r="Z2" s="10">
        <v>17.420000000000002</v>
      </c>
      <c r="AA2" s="10">
        <v>17.61</v>
      </c>
      <c r="AB2" s="95">
        <v>11106300</v>
      </c>
      <c r="AC2" s="10">
        <v>17.61</v>
      </c>
      <c r="AE2" s="138">
        <f t="shared" ref="AE2:AE14" si="0">AC2/AC3-1</f>
        <v>1.9687319050376351E-2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42754</v>
      </c>
      <c r="X3" s="10">
        <v>17.329999999999998</v>
      </c>
      <c r="Y3" s="10">
        <v>17.510000000000002</v>
      </c>
      <c r="Z3" s="10">
        <v>17.21</v>
      </c>
      <c r="AA3" s="10">
        <v>17.27</v>
      </c>
      <c r="AB3" s="95">
        <v>6254600</v>
      </c>
      <c r="AC3" s="10">
        <v>17.27</v>
      </c>
      <c r="AE3" s="138">
        <f t="shared" si="0"/>
        <v>-3.4622042700518385E-3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17.61</v>
      </c>
      <c r="R4" s="505">
        <v>1.9699999999999999E-2</v>
      </c>
      <c r="W4" s="133">
        <v>42753</v>
      </c>
      <c r="X4" s="10">
        <v>17.260000000000002</v>
      </c>
      <c r="Y4" s="10">
        <v>17.48</v>
      </c>
      <c r="Z4" s="10">
        <v>17.149999999999999</v>
      </c>
      <c r="AA4" s="10">
        <v>17.329999999999998</v>
      </c>
      <c r="AB4" s="95">
        <v>9274300</v>
      </c>
      <c r="AC4" s="10">
        <v>17.329999999999998</v>
      </c>
      <c r="AE4" s="138">
        <f t="shared" si="0"/>
        <v>-6.307339449541427E-3</v>
      </c>
      <c r="AJ4" s="235"/>
      <c r="AL4" s="234"/>
      <c r="AO4" s="234"/>
    </row>
    <row r="5" spans="1:41" x14ac:dyDescent="0.25">
      <c r="B5" s="64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105660</v>
      </c>
      <c r="T5" s="67"/>
      <c r="W5" s="133">
        <v>42752</v>
      </c>
      <c r="X5" s="10">
        <v>17.63</v>
      </c>
      <c r="Y5" s="10">
        <v>17.7</v>
      </c>
      <c r="Z5" s="10">
        <v>17.399999999999999</v>
      </c>
      <c r="AA5" s="10">
        <v>17.440000000000001</v>
      </c>
      <c r="AB5" s="95">
        <v>6855400</v>
      </c>
      <c r="AC5" s="10">
        <v>17.440000000000001</v>
      </c>
      <c r="AE5" s="138">
        <f t="shared" si="0"/>
        <v>-5.7306590257866219E-4</v>
      </c>
    </row>
    <row r="6" spans="1:41" x14ac:dyDescent="0.25">
      <c r="B6" s="64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42748</v>
      </c>
      <c r="X6" s="10">
        <v>17.329999999999998</v>
      </c>
      <c r="Y6" s="10">
        <v>17.489999999999998</v>
      </c>
      <c r="Z6" s="10">
        <v>17.239999999999998</v>
      </c>
      <c r="AA6" s="10">
        <v>17.45</v>
      </c>
      <c r="AB6" s="95">
        <v>5391500</v>
      </c>
      <c r="AC6" s="10">
        <v>17.45</v>
      </c>
      <c r="AE6" s="138">
        <f t="shared" si="0"/>
        <v>5.733944954127157E-4</v>
      </c>
    </row>
    <row r="7" spans="1:41" x14ac:dyDescent="0.25">
      <c r="B7" s="64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18493.871000001905</v>
      </c>
      <c r="R7">
        <v>3000</v>
      </c>
      <c r="U7" s="184"/>
      <c r="W7" s="133">
        <v>42747</v>
      </c>
      <c r="X7" s="10">
        <v>18.03</v>
      </c>
      <c r="Y7" s="10">
        <v>18.100000000000001</v>
      </c>
      <c r="Z7" s="10">
        <v>17.329999999999998</v>
      </c>
      <c r="AA7" s="10">
        <v>17.440000000000001</v>
      </c>
      <c r="AB7" s="95">
        <v>10247500</v>
      </c>
      <c r="AC7" s="10">
        <v>17.440000000000001</v>
      </c>
      <c r="AE7" s="138">
        <f t="shared" si="0"/>
        <v>-1.4132278123233477E-2</v>
      </c>
    </row>
    <row r="8" spans="1:41" x14ac:dyDescent="0.25">
      <c r="B8" s="64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18493.871000001905</v>
      </c>
      <c r="W8" s="133">
        <v>42746</v>
      </c>
      <c r="X8" s="10">
        <v>17.559999999999999</v>
      </c>
      <c r="Y8" s="10">
        <v>17.760000000000002</v>
      </c>
      <c r="Z8" s="10">
        <v>17.47</v>
      </c>
      <c r="AA8" s="10">
        <v>17.690000000000001</v>
      </c>
      <c r="AB8" s="95">
        <v>9773500</v>
      </c>
      <c r="AC8" s="10">
        <v>17.690000000000001</v>
      </c>
      <c r="AE8" s="138">
        <f t="shared" si="0"/>
        <v>1.2013729977116805E-2</v>
      </c>
    </row>
    <row r="9" spans="1:41" x14ac:dyDescent="0.25">
      <c r="B9" s="64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215</v>
      </c>
      <c r="Q9" s="138">
        <f>IF(Q2=0, 0, Q8/Q6)</f>
        <v>0.21216808882269303</v>
      </c>
      <c r="W9" s="133">
        <v>42745</v>
      </c>
      <c r="X9" s="10">
        <v>17.5</v>
      </c>
      <c r="Y9" s="10">
        <v>17.579999999999998</v>
      </c>
      <c r="Z9" s="10">
        <v>17.350000000000001</v>
      </c>
      <c r="AA9" s="10">
        <v>17.48</v>
      </c>
      <c r="AB9" s="95">
        <v>6920800</v>
      </c>
      <c r="AC9" s="10">
        <v>17.48</v>
      </c>
      <c r="AE9" s="138">
        <f t="shared" si="0"/>
        <v>4.5977011494253706E-3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3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214</v>
      </c>
      <c r="P10" s="34"/>
      <c r="Q10" s="2">
        <f>M30</f>
        <v>0</v>
      </c>
      <c r="W10" s="133">
        <v>42744</v>
      </c>
      <c r="X10" s="10">
        <v>17.64</v>
      </c>
      <c r="Y10" s="10">
        <v>17.75</v>
      </c>
      <c r="Z10" s="10">
        <v>17.399999999999999</v>
      </c>
      <c r="AA10" s="10">
        <v>17.399999999999999</v>
      </c>
      <c r="AB10" s="95">
        <v>8839500</v>
      </c>
      <c r="AC10" s="10">
        <v>17.399999999999999</v>
      </c>
      <c r="AE10" s="138">
        <f t="shared" si="0"/>
        <v>-2.684563758389269E-2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1.14E-2</v>
      </c>
      <c r="W11" s="133">
        <v>42741</v>
      </c>
      <c r="X11" s="10">
        <v>18.170000000000002</v>
      </c>
      <c r="Y11" s="10">
        <v>18.170000000000002</v>
      </c>
      <c r="Z11" s="10">
        <v>17.829999999999998</v>
      </c>
      <c r="AA11" s="10">
        <v>17.88</v>
      </c>
      <c r="AB11" s="95">
        <v>7794200</v>
      </c>
      <c r="AC11" s="10">
        <v>17.88</v>
      </c>
      <c r="AE11" s="138">
        <f t="shared" si="0"/>
        <v>-1.650165016501659E-2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42740</v>
      </c>
      <c r="X12" s="10">
        <v>18.100000000000001</v>
      </c>
      <c r="Y12" s="10">
        <v>18.27</v>
      </c>
      <c r="Z12" s="10">
        <v>17.88</v>
      </c>
      <c r="AA12" s="10">
        <v>18.18</v>
      </c>
      <c r="AB12" s="95">
        <v>9758300</v>
      </c>
      <c r="AC12" s="10">
        <v>18.18</v>
      </c>
      <c r="AE12" s="138">
        <f t="shared" si="0"/>
        <v>7.2022160664819701E-3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42739</v>
      </c>
      <c r="X13" s="10">
        <v>17.71</v>
      </c>
      <c r="Y13" s="10">
        <v>18.09</v>
      </c>
      <c r="Z13" s="10">
        <v>17.54</v>
      </c>
      <c r="AA13" s="10">
        <v>18.05</v>
      </c>
      <c r="AB13" s="95">
        <v>9296300</v>
      </c>
      <c r="AC13" s="10">
        <v>18.05</v>
      </c>
      <c r="AE13" s="138">
        <f t="shared" si="0"/>
        <v>1.6328828828828801E-2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42738</v>
      </c>
      <c r="X14" s="10">
        <v>17.739999999999998</v>
      </c>
      <c r="Y14" s="10">
        <v>18.059999999999999</v>
      </c>
      <c r="Z14" s="10">
        <v>17.29</v>
      </c>
      <c r="AA14" s="10">
        <v>17.760000000000002</v>
      </c>
      <c r="AB14" s="95">
        <v>13480800</v>
      </c>
      <c r="AC14" s="10">
        <v>17.760000000000002</v>
      </c>
      <c r="AE14" s="138">
        <f t="shared" si="0"/>
        <v>2.5996533795494159E-2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42734</v>
      </c>
      <c r="X15" s="10">
        <v>17.57</v>
      </c>
      <c r="Y15" s="10">
        <v>17.82</v>
      </c>
      <c r="Z15" s="10">
        <v>17.21</v>
      </c>
      <c r="AA15" s="10">
        <v>17.309999999999999</v>
      </c>
      <c r="AB15" s="95">
        <v>7899800</v>
      </c>
      <c r="AC15" s="10">
        <v>17.309999999999999</v>
      </c>
      <c r="AE15" s="138">
        <f>AC15/AC16-1</f>
        <v>-1.4797951052931246E-2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42733</v>
      </c>
      <c r="X16" s="10">
        <v>17.78</v>
      </c>
      <c r="Y16" s="10">
        <v>17.829999999999998</v>
      </c>
      <c r="Z16" s="10">
        <v>17.440000000000001</v>
      </c>
      <c r="AA16" s="10">
        <v>17.57</v>
      </c>
      <c r="AB16" s="95">
        <v>6949200</v>
      </c>
      <c r="AC16" s="10">
        <v>17.57</v>
      </c>
      <c r="AE16" s="138">
        <f t="shared" ref="AE16:AE67" si="4">AC16/AC17-1</f>
        <v>-1.5686274509803977E-2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42732</v>
      </c>
      <c r="X17" s="10">
        <v>18.11</v>
      </c>
      <c r="Y17" s="10">
        <v>18.29</v>
      </c>
      <c r="Z17" s="10">
        <v>17.84</v>
      </c>
      <c r="AA17" s="10">
        <v>17.850000000000001</v>
      </c>
      <c r="AB17" s="95">
        <v>8293800</v>
      </c>
      <c r="AC17" s="10">
        <v>17.850000000000001</v>
      </c>
      <c r="AE17" s="138">
        <f t="shared" si="4"/>
        <v>-1.5986769570010995E-2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42731</v>
      </c>
      <c r="X18" s="10">
        <v>18.100000000000001</v>
      </c>
      <c r="Y18" s="10">
        <v>18.2</v>
      </c>
      <c r="Z18" s="10">
        <v>18</v>
      </c>
      <c r="AA18" s="10">
        <v>18.14</v>
      </c>
      <c r="AB18" s="95">
        <v>5375700</v>
      </c>
      <c r="AC18" s="10">
        <v>18.14</v>
      </c>
      <c r="AE18" s="138">
        <f t="shared" si="4"/>
        <v>4.4296788482836025E-3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42727</v>
      </c>
      <c r="X19" s="10">
        <v>17.98</v>
      </c>
      <c r="Y19" s="10">
        <v>18.2</v>
      </c>
      <c r="Z19" s="10">
        <v>17.940000000000001</v>
      </c>
      <c r="AA19" s="10">
        <v>18.059999999999999</v>
      </c>
      <c r="AB19" s="95">
        <v>7604100</v>
      </c>
      <c r="AC19" s="10">
        <v>18.059999999999999</v>
      </c>
      <c r="AE19" s="138">
        <f t="shared" si="4"/>
        <v>1.1086474501107446E-3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42726</v>
      </c>
      <c r="X20" s="10">
        <v>18.12</v>
      </c>
      <c r="Y20" s="10">
        <v>18.350000000000001</v>
      </c>
      <c r="Z20" s="10">
        <v>18</v>
      </c>
      <c r="AA20" s="10">
        <v>18.04</v>
      </c>
      <c r="AB20" s="95">
        <v>9168200</v>
      </c>
      <c r="AC20" s="10">
        <v>18.04</v>
      </c>
      <c r="AE20" s="138">
        <f t="shared" si="4"/>
        <v>-2.2123893805309214E-3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42725</v>
      </c>
      <c r="X21" s="10">
        <v>18.559999999999999</v>
      </c>
      <c r="Y21" s="10">
        <v>18.59</v>
      </c>
      <c r="Z21" s="10">
        <v>18.05</v>
      </c>
      <c r="AA21" s="10">
        <v>18.079999999999998</v>
      </c>
      <c r="AB21" s="95">
        <v>8160300</v>
      </c>
      <c r="AC21" s="10">
        <v>18.079999999999998</v>
      </c>
      <c r="AE21" s="138">
        <f t="shared" si="4"/>
        <v>-1.2561441835062803E-2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42724</v>
      </c>
      <c r="X22" s="10">
        <v>18.61</v>
      </c>
      <c r="Y22" s="10">
        <v>18.79</v>
      </c>
      <c r="Z22" s="10">
        <v>18.239999999999998</v>
      </c>
      <c r="AA22" s="10">
        <v>18.309999999999999</v>
      </c>
      <c r="AB22" s="95">
        <v>10099600</v>
      </c>
      <c r="AC22" s="10">
        <v>18.309999999999999</v>
      </c>
      <c r="AE22" s="138">
        <f t="shared" si="4"/>
        <v>-1.0804970286331872E-2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42723</v>
      </c>
      <c r="X23" s="10">
        <v>18.649999999999999</v>
      </c>
      <c r="Y23" s="10">
        <v>18.7</v>
      </c>
      <c r="Z23" s="10">
        <v>18.3</v>
      </c>
      <c r="AA23" s="10">
        <v>18.510000000000002</v>
      </c>
      <c r="AB23" s="95">
        <v>10699500</v>
      </c>
      <c r="AC23" s="10">
        <v>18.510000000000002</v>
      </c>
      <c r="AE23" s="138">
        <f t="shared" si="4"/>
        <v>-4.3033889187734653E-3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42720</v>
      </c>
      <c r="X24" s="10">
        <v>18.34</v>
      </c>
      <c r="Y24" s="10">
        <v>19.02</v>
      </c>
      <c r="Z24" s="10">
        <v>18.22</v>
      </c>
      <c r="AA24" s="10">
        <v>18.59</v>
      </c>
      <c r="AB24" s="95">
        <v>20430000</v>
      </c>
      <c r="AC24" s="10">
        <v>18.59</v>
      </c>
      <c r="AE24" s="138">
        <f t="shared" si="4"/>
        <v>1.9188596491228171E-2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42719</v>
      </c>
      <c r="X25" s="10">
        <v>17.86</v>
      </c>
      <c r="Y25" s="10">
        <v>18.59</v>
      </c>
      <c r="Z25" s="10">
        <v>17.559999999999999</v>
      </c>
      <c r="AA25" s="10">
        <v>18.239999999999998</v>
      </c>
      <c r="AB25" s="95">
        <v>17878900</v>
      </c>
      <c r="AC25" s="10">
        <v>18.239999999999998</v>
      </c>
      <c r="AE25" s="138">
        <f t="shared" si="4"/>
        <v>2.19780219780219E-3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42718</v>
      </c>
      <c r="X26" s="10">
        <v>18.59</v>
      </c>
      <c r="Y26" s="10">
        <v>18.95</v>
      </c>
      <c r="Z26" s="10">
        <v>18.16</v>
      </c>
      <c r="AA26" s="10">
        <v>18.2</v>
      </c>
      <c r="AB26" s="95">
        <v>21195900</v>
      </c>
      <c r="AC26" s="10">
        <v>18.2</v>
      </c>
      <c r="AE26" s="138">
        <f t="shared" si="4"/>
        <v>-3.1914893617021378E-2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42717</v>
      </c>
      <c r="X27" s="10">
        <v>18.809999999999999</v>
      </c>
      <c r="Y27" s="10">
        <v>19</v>
      </c>
      <c r="Z27" s="10">
        <v>18.329999999999998</v>
      </c>
      <c r="AA27" s="10">
        <v>18.8</v>
      </c>
      <c r="AB27" s="95">
        <v>17910100</v>
      </c>
      <c r="AC27" s="10">
        <v>18.8</v>
      </c>
      <c r="AE27" s="138">
        <f t="shared" si="4"/>
        <v>1.6765819361817424E-2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42716</v>
      </c>
      <c r="X28" s="10">
        <v>19.149999999999999</v>
      </c>
      <c r="Y28" s="10">
        <v>19.28</v>
      </c>
      <c r="Z28" s="10">
        <v>18.48</v>
      </c>
      <c r="AA28" s="10">
        <v>18.489999999999998</v>
      </c>
      <c r="AB28" s="95">
        <v>21486200</v>
      </c>
      <c r="AC28" s="10">
        <v>18.489999999999998</v>
      </c>
      <c r="AE28" s="138">
        <f t="shared" si="4"/>
        <v>1.315068493150684E-2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42713</v>
      </c>
      <c r="X29" s="10">
        <v>18.559999999999999</v>
      </c>
      <c r="Y29" s="10">
        <v>18.579999999999998</v>
      </c>
      <c r="Z29" s="10">
        <v>18.079999999999998</v>
      </c>
      <c r="AA29" s="10">
        <v>18.25</v>
      </c>
      <c r="AB29" s="95">
        <v>10957100</v>
      </c>
      <c r="AC29" s="10">
        <v>18.25</v>
      </c>
      <c r="AE29" s="138">
        <f t="shared" si="4"/>
        <v>-7.0729053318824286E-3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42712</v>
      </c>
      <c r="X30" s="10">
        <v>18.5</v>
      </c>
      <c r="Y30" s="10">
        <v>18.59</v>
      </c>
      <c r="Z30" s="10">
        <v>18.170000000000002</v>
      </c>
      <c r="AA30" s="10">
        <v>18.38</v>
      </c>
      <c r="AB30" s="95">
        <v>14491500</v>
      </c>
      <c r="AC30" s="10">
        <v>18.38</v>
      </c>
      <c r="AE30" s="138">
        <f t="shared" si="4"/>
        <v>-2.1715526601521207E-3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42711</v>
      </c>
      <c r="X31" s="10">
        <v>18.21</v>
      </c>
      <c r="Y31" s="10">
        <v>18.489999999999998</v>
      </c>
      <c r="Z31" s="10">
        <v>18.09</v>
      </c>
      <c r="AA31" s="10">
        <v>18.420000000000002</v>
      </c>
      <c r="AB31" s="95">
        <v>14096200</v>
      </c>
      <c r="AC31" s="10">
        <v>18.420000000000002</v>
      </c>
      <c r="AE31" s="138">
        <f t="shared" si="4"/>
        <v>3.814713896457711E-3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42710</v>
      </c>
      <c r="X32" s="10">
        <v>18.12</v>
      </c>
      <c r="Y32" s="10">
        <v>18.62</v>
      </c>
      <c r="Z32" s="10">
        <v>17.93</v>
      </c>
      <c r="AA32" s="10">
        <v>18.350000000000001</v>
      </c>
      <c r="AB32" s="95">
        <v>13864400</v>
      </c>
      <c r="AC32" s="10">
        <v>18.350000000000001</v>
      </c>
      <c r="AE32" s="138">
        <f t="shared" si="4"/>
        <v>-2.175095160413254E-3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42709</v>
      </c>
      <c r="X33" s="10">
        <v>18.55</v>
      </c>
      <c r="Y33" s="10">
        <v>18.73</v>
      </c>
      <c r="Z33" s="10">
        <v>18.29</v>
      </c>
      <c r="AA33" s="10">
        <v>18.39</v>
      </c>
      <c r="AB33" s="95">
        <v>14019000</v>
      </c>
      <c r="AC33" s="10">
        <v>18.39</v>
      </c>
      <c r="AE33" s="138">
        <f t="shared" si="4"/>
        <v>1.0439560439560402E-2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42706</v>
      </c>
      <c r="X34" s="10">
        <v>17.84</v>
      </c>
      <c r="Y34" s="10">
        <v>18.39</v>
      </c>
      <c r="Z34" s="10">
        <v>17.84</v>
      </c>
      <c r="AA34" s="10">
        <v>18.2</v>
      </c>
      <c r="AB34" s="95">
        <v>16662900</v>
      </c>
      <c r="AC34" s="10">
        <v>18.2</v>
      </c>
      <c r="AE34" s="138">
        <f t="shared" si="4"/>
        <v>1.7328116266070337E-2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42705</v>
      </c>
      <c r="X35" s="10">
        <v>19.12</v>
      </c>
      <c r="Y35" s="10">
        <v>19.14</v>
      </c>
      <c r="Z35" s="10">
        <v>17.579999999999998</v>
      </c>
      <c r="AA35" s="10">
        <v>17.89</v>
      </c>
      <c r="AB35" s="95">
        <v>35757500</v>
      </c>
      <c r="AC35" s="10">
        <v>17.89</v>
      </c>
      <c r="AE35" s="138">
        <f t="shared" si="4"/>
        <v>-9.4130675526022944E-3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42704</v>
      </c>
      <c r="X36" s="10">
        <v>16.38</v>
      </c>
      <c r="Y36" s="10">
        <v>18.55</v>
      </c>
      <c r="Z36" s="10">
        <v>16.38</v>
      </c>
      <c r="AA36" s="10">
        <v>18.059999999999999</v>
      </c>
      <c r="AB36" s="95">
        <v>74509700</v>
      </c>
      <c r="AC36" s="10">
        <v>18.059999999999999</v>
      </c>
      <c r="AE36" s="138">
        <f t="shared" si="4"/>
        <v>0.2080267558528428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42703</v>
      </c>
      <c r="X37" s="10">
        <v>15.14</v>
      </c>
      <c r="Y37" s="10">
        <v>15.16</v>
      </c>
      <c r="Z37" s="10">
        <v>14.71</v>
      </c>
      <c r="AA37" s="10">
        <v>14.95</v>
      </c>
      <c r="AB37" s="95">
        <v>20254900</v>
      </c>
      <c r="AC37" s="10">
        <v>14.95</v>
      </c>
      <c r="AE37" s="138">
        <f t="shared" si="4"/>
        <v>-3.7966537966537928E-2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42702</v>
      </c>
      <c r="X38" s="10">
        <v>16.55</v>
      </c>
      <c r="Y38" s="10">
        <v>16.579999999999998</v>
      </c>
      <c r="Z38" s="10">
        <v>15.51</v>
      </c>
      <c r="AA38" s="10">
        <v>15.54</v>
      </c>
      <c r="AB38" s="95">
        <v>20075400</v>
      </c>
      <c r="AC38" s="10">
        <v>15.54</v>
      </c>
      <c r="AE38" s="138">
        <f t="shared" si="4"/>
        <v>-4.5454545454545525E-2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42699</v>
      </c>
      <c r="X39" s="10">
        <v>16.63</v>
      </c>
      <c r="Y39" s="10">
        <v>16.63</v>
      </c>
      <c r="Z39" s="10">
        <v>16.14</v>
      </c>
      <c r="AA39" s="10">
        <v>16.28</v>
      </c>
      <c r="AB39" s="95">
        <v>7914100</v>
      </c>
      <c r="AC39" s="10">
        <v>16.28</v>
      </c>
      <c r="AE39" s="138">
        <f t="shared" si="4"/>
        <v>-2.9797377830750871E-2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42697</v>
      </c>
      <c r="X40" s="10">
        <v>16.37</v>
      </c>
      <c r="Y40" s="10">
        <v>16.8</v>
      </c>
      <c r="Z40" s="10">
        <v>16.29</v>
      </c>
      <c r="AA40" s="10">
        <v>16.78</v>
      </c>
      <c r="AB40" s="95">
        <v>11208800</v>
      </c>
      <c r="AC40" s="10">
        <v>16.78</v>
      </c>
      <c r="AE40" s="138">
        <f t="shared" si="4"/>
        <v>1.3897280966767456E-2</v>
      </c>
    </row>
    <row r="41" spans="2:31" ht="20.25" thickBot="1" x14ac:dyDescent="0.35">
      <c r="B41" s="64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2" t="s">
        <v>78</v>
      </c>
      <c r="P41" s="632"/>
      <c r="W41" s="133">
        <v>42696</v>
      </c>
      <c r="X41" s="10">
        <v>16.41</v>
      </c>
      <c r="Y41" s="10">
        <v>16.73</v>
      </c>
      <c r="Z41" s="10">
        <v>16.010000000000002</v>
      </c>
      <c r="AA41" s="10">
        <v>16.55</v>
      </c>
      <c r="AB41" s="95">
        <v>17889300</v>
      </c>
      <c r="AC41" s="10">
        <v>16.55</v>
      </c>
      <c r="AE41" s="138">
        <f t="shared" si="4"/>
        <v>4.2475728155340065E-3</v>
      </c>
    </row>
    <row r="42" spans="2:31" ht="21" thickTop="1" thickBot="1" x14ac:dyDescent="0.35">
      <c r="B42" s="640"/>
      <c r="C42" s="7">
        <v>340</v>
      </c>
      <c r="D42" s="79">
        <v>17.8</v>
      </c>
      <c r="E42" s="44">
        <v>0</v>
      </c>
      <c r="F42" s="44">
        <f t="shared" si="1"/>
        <v>6052</v>
      </c>
      <c r="G42" s="637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21.484199999999998</v>
      </c>
      <c r="T42" s="134" t="s">
        <v>92</v>
      </c>
      <c r="W42" s="133">
        <v>42695</v>
      </c>
      <c r="X42" s="10">
        <v>16.079999999999998</v>
      </c>
      <c r="Y42" s="10">
        <v>16.579999999999998</v>
      </c>
      <c r="Z42" s="10">
        <v>16.04</v>
      </c>
      <c r="AA42" s="10">
        <v>16.48</v>
      </c>
      <c r="AB42" s="95">
        <v>19650900</v>
      </c>
      <c r="AC42" s="10">
        <v>16.48</v>
      </c>
      <c r="AE42" s="138">
        <f t="shared" si="4"/>
        <v>5.5057618437900135E-2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3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21.3081</v>
      </c>
      <c r="T43" s="135" t="s">
        <v>98</v>
      </c>
      <c r="U43" s="129">
        <v>17.27</v>
      </c>
      <c r="W43" s="133">
        <v>42692</v>
      </c>
      <c r="X43" s="10">
        <v>15.52</v>
      </c>
      <c r="Y43" s="10">
        <v>15.83</v>
      </c>
      <c r="Z43" s="10">
        <v>15.49</v>
      </c>
      <c r="AA43" s="10">
        <v>15.62</v>
      </c>
      <c r="AB43" s="95">
        <v>13985400</v>
      </c>
      <c r="AC43" s="10">
        <v>15.62</v>
      </c>
      <c r="AE43" s="138">
        <f t="shared" si="4"/>
        <v>1.0349288486416475E-2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3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21.131999999999998</v>
      </c>
      <c r="T44" s="136" t="s">
        <v>99</v>
      </c>
      <c r="U44" s="130">
        <v>17.489999999999998</v>
      </c>
      <c r="W44" s="133">
        <v>42691</v>
      </c>
      <c r="X44" s="10">
        <v>15.8</v>
      </c>
      <c r="Y44" s="10">
        <v>16.07</v>
      </c>
      <c r="Z44" s="10">
        <v>15.44</v>
      </c>
      <c r="AA44" s="10">
        <v>15.46</v>
      </c>
      <c r="AB44" s="95">
        <v>17787400</v>
      </c>
      <c r="AC44" s="10">
        <v>15.46</v>
      </c>
      <c r="AE44" s="138">
        <f t="shared" si="4"/>
        <v>-6.4267352185090054E-3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3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20.9559</v>
      </c>
      <c r="T45" s="136" t="s">
        <v>100</v>
      </c>
      <c r="U45" s="130" t="s">
        <v>129</v>
      </c>
      <c r="W45" s="133">
        <v>42690</v>
      </c>
      <c r="X45" s="10">
        <v>15.55</v>
      </c>
      <c r="Y45" s="10">
        <v>15.93</v>
      </c>
      <c r="Z45" s="10">
        <v>15.35</v>
      </c>
      <c r="AA45" s="10">
        <v>15.56</v>
      </c>
      <c r="AB45" s="95">
        <v>16461500</v>
      </c>
      <c r="AC45" s="10">
        <v>15.56</v>
      </c>
      <c r="AE45" s="138">
        <f t="shared" si="4"/>
        <v>-8.9171974522291864E-3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20.779799999999998</v>
      </c>
      <c r="T46" s="136" t="s">
        <v>101</v>
      </c>
      <c r="U46" s="130" t="s">
        <v>129</v>
      </c>
      <c r="W46" s="133">
        <v>42689</v>
      </c>
      <c r="X46" s="10">
        <v>15.24</v>
      </c>
      <c r="Y46" s="10">
        <v>15.85</v>
      </c>
      <c r="Z46" s="10">
        <v>15.15</v>
      </c>
      <c r="AA46" s="10">
        <v>15.7</v>
      </c>
      <c r="AB46" s="95">
        <v>20422300</v>
      </c>
      <c r="AC46" s="10">
        <v>15.7</v>
      </c>
      <c r="AE46" s="138">
        <f t="shared" si="4"/>
        <v>5.1574012056262442E-2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20.603699999999996</v>
      </c>
      <c r="T47" s="136" t="s">
        <v>102</v>
      </c>
      <c r="U47" s="130">
        <v>20.29</v>
      </c>
      <c r="W47" s="133">
        <v>42688</v>
      </c>
      <c r="X47" s="10">
        <v>14.7</v>
      </c>
      <c r="Y47" s="10">
        <v>15</v>
      </c>
      <c r="Z47" s="10">
        <v>14.45</v>
      </c>
      <c r="AA47" s="10">
        <v>14.93</v>
      </c>
      <c r="AB47" s="95">
        <v>15132700</v>
      </c>
      <c r="AC47" s="10">
        <v>14.93</v>
      </c>
      <c r="AE47" s="138" t="e">
        <f t="shared" si="4"/>
        <v>#DIV/0!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20.427599999999998</v>
      </c>
      <c r="T48" s="136" t="s">
        <v>103</v>
      </c>
      <c r="U48" s="130">
        <v>2.7484500000000001</v>
      </c>
      <c r="W48" s="133">
        <v>42688</v>
      </c>
      <c r="X48" s="10" t="s">
        <v>155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20.251499999999997</v>
      </c>
      <c r="T49" s="136" t="s">
        <v>122</v>
      </c>
      <c r="U49" s="130" t="s">
        <v>346</v>
      </c>
      <c r="W49" s="133">
        <v>42685</v>
      </c>
      <c r="X49" s="10">
        <v>14.94</v>
      </c>
      <c r="Y49" s="10">
        <v>15.07</v>
      </c>
      <c r="Z49" s="10">
        <v>14.37</v>
      </c>
      <c r="AA49" s="10">
        <v>14.89</v>
      </c>
      <c r="AB49" s="95">
        <v>13642100</v>
      </c>
      <c r="AC49" s="10">
        <v>14.84</v>
      </c>
      <c r="AE49" s="138">
        <f t="shared" si="4"/>
        <v>-1.6567263088137829E-2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20.075399999999998</v>
      </c>
      <c r="T50" s="136"/>
      <c r="U50" s="130"/>
      <c r="W50" s="133">
        <v>42684</v>
      </c>
      <c r="X50" s="10">
        <v>14.73</v>
      </c>
      <c r="Y50" s="10">
        <v>15.23</v>
      </c>
      <c r="Z50" s="10">
        <v>14.63</v>
      </c>
      <c r="AA50" s="10">
        <v>15.14</v>
      </c>
      <c r="AB50" s="95">
        <v>19249900</v>
      </c>
      <c r="AC50" s="10">
        <v>15.09</v>
      </c>
      <c r="AE50" s="138">
        <f t="shared" si="4"/>
        <v>1.7532029669588667E-2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19.899299999999997</v>
      </c>
      <c r="T51" s="136" t="s">
        <v>105</v>
      </c>
      <c r="U51" s="130" t="s">
        <v>504</v>
      </c>
      <c r="W51" s="133">
        <v>42683</v>
      </c>
      <c r="X51" s="10">
        <v>14.18</v>
      </c>
      <c r="Y51" s="10">
        <v>15.07</v>
      </c>
      <c r="Z51" s="10">
        <v>14.18</v>
      </c>
      <c r="AA51" s="10">
        <v>14.88</v>
      </c>
      <c r="AB51" s="95">
        <v>22354100</v>
      </c>
      <c r="AC51" s="10">
        <v>14.83</v>
      </c>
      <c r="AE51" s="138">
        <f t="shared" si="4"/>
        <v>4.4366197183098643E-2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19.723200000000002</v>
      </c>
      <c r="T52" s="136" t="s">
        <v>106</v>
      </c>
      <c r="U52" s="130" t="s">
        <v>365</v>
      </c>
      <c r="W52" s="133">
        <v>42682</v>
      </c>
      <c r="X52" s="10">
        <v>14.03</v>
      </c>
      <c r="Y52" s="10">
        <v>14.37</v>
      </c>
      <c r="Z52" s="10">
        <v>13.98</v>
      </c>
      <c r="AA52" s="10">
        <v>14.25</v>
      </c>
      <c r="AB52" s="95">
        <v>11009300</v>
      </c>
      <c r="AC52" s="10">
        <v>14.2</v>
      </c>
      <c r="AE52" s="138">
        <f t="shared" si="4"/>
        <v>7.0921985815601829E-3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3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19.5471</v>
      </c>
      <c r="T53" s="136" t="s">
        <v>107</v>
      </c>
      <c r="U53" s="131">
        <v>11179169</v>
      </c>
      <c r="W53" s="133">
        <v>42681</v>
      </c>
      <c r="X53" s="10">
        <v>14.1</v>
      </c>
      <c r="Y53" s="10">
        <v>14.26</v>
      </c>
      <c r="Z53" s="10">
        <v>13.92</v>
      </c>
      <c r="AA53" s="10">
        <v>14.15</v>
      </c>
      <c r="AB53" s="95">
        <v>16077000</v>
      </c>
      <c r="AC53" s="10">
        <v>14.1</v>
      </c>
      <c r="AE53" s="138">
        <f t="shared" si="4"/>
        <v>3.3724340175953049E-2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19.371000000000002</v>
      </c>
      <c r="T54" s="136" t="s">
        <v>110</v>
      </c>
      <c r="U54" s="131">
        <v>15443300</v>
      </c>
      <c r="W54" s="133">
        <v>42678</v>
      </c>
      <c r="X54" s="10">
        <v>13.91</v>
      </c>
      <c r="Y54" s="10">
        <v>14.2</v>
      </c>
      <c r="Z54" s="10">
        <v>13.66</v>
      </c>
      <c r="AA54" s="10">
        <v>13.69</v>
      </c>
      <c r="AB54" s="95">
        <v>29039600</v>
      </c>
      <c r="AC54" s="10">
        <v>13.64</v>
      </c>
      <c r="AE54" s="138">
        <f t="shared" si="4"/>
        <v>-3.2624113475177241E-2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19.194900000000001</v>
      </c>
      <c r="T55" s="136" t="s">
        <v>108</v>
      </c>
      <c r="U55" s="130" t="s">
        <v>505</v>
      </c>
      <c r="W55" s="133">
        <v>42677</v>
      </c>
      <c r="X55" s="10">
        <v>13.77</v>
      </c>
      <c r="Y55" s="10">
        <v>14.76</v>
      </c>
      <c r="Z55" s="10">
        <v>13.71</v>
      </c>
      <c r="AA55" s="10">
        <v>14.15</v>
      </c>
      <c r="AB55" s="95">
        <v>38327500</v>
      </c>
      <c r="AC55" s="10">
        <v>14.1</v>
      </c>
      <c r="AE55" s="138">
        <f t="shared" si="4"/>
        <v>0.10675039246467821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19.018800000000002</v>
      </c>
      <c r="T56" s="136" t="s">
        <v>111</v>
      </c>
      <c r="U56" s="130" t="s">
        <v>129</v>
      </c>
      <c r="W56" s="133">
        <v>42676</v>
      </c>
      <c r="X56" s="10">
        <v>13.06</v>
      </c>
      <c r="Y56" s="10">
        <v>13.1</v>
      </c>
      <c r="Z56" s="10">
        <v>12.36</v>
      </c>
      <c r="AA56" s="10">
        <v>12.78</v>
      </c>
      <c r="AB56" s="95">
        <v>26197400</v>
      </c>
      <c r="AC56" s="10">
        <v>12.74</v>
      </c>
      <c r="AE56" s="138">
        <f t="shared" si="4"/>
        <v>-3.703703703703709E-2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18.842700000000001</v>
      </c>
      <c r="T57" s="136" t="s">
        <v>112</v>
      </c>
      <c r="U57" s="130">
        <v>-2.0099999999999998</v>
      </c>
      <c r="W57" s="133">
        <v>42675</v>
      </c>
      <c r="X57" s="10">
        <v>13.37</v>
      </c>
      <c r="Y57" s="10">
        <v>13.53</v>
      </c>
      <c r="Z57" s="10">
        <v>12.87</v>
      </c>
      <c r="AA57" s="10">
        <v>13.27</v>
      </c>
      <c r="AB57" s="95">
        <v>16540200</v>
      </c>
      <c r="AC57" s="10">
        <v>13.23</v>
      </c>
      <c r="AE57" s="138">
        <f t="shared" si="4"/>
        <v>6.8493150684931781E-3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18.666599999999999</v>
      </c>
      <c r="T58" s="136" t="s">
        <v>109</v>
      </c>
      <c r="U58" s="130" t="s">
        <v>633</v>
      </c>
      <c r="W58" s="133">
        <v>42674</v>
      </c>
      <c r="X58" s="10">
        <v>13.65</v>
      </c>
      <c r="Y58" s="10">
        <v>13.68</v>
      </c>
      <c r="Z58" s="10">
        <v>13.14</v>
      </c>
      <c r="AA58" s="10">
        <v>13.18</v>
      </c>
      <c r="AB58" s="95">
        <v>16153800</v>
      </c>
      <c r="AC58" s="10">
        <v>13.14</v>
      </c>
      <c r="AE58" s="138">
        <f t="shared" si="4"/>
        <v>-3.8771031455742455E-2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18.490500000000001</v>
      </c>
      <c r="W59" s="133">
        <v>42671</v>
      </c>
      <c r="X59" s="10">
        <v>13.88</v>
      </c>
      <c r="Y59" s="10">
        <v>14.23</v>
      </c>
      <c r="Z59" s="10">
        <v>13.65</v>
      </c>
      <c r="AA59" s="10">
        <v>13.72</v>
      </c>
      <c r="AB59" s="95">
        <v>19045800</v>
      </c>
      <c r="AC59" s="10">
        <v>13.67</v>
      </c>
      <c r="AE59" s="138">
        <f t="shared" si="4"/>
        <v>-1.6546762589928043E-2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18.314399999999999</v>
      </c>
      <c r="W60" s="133">
        <v>42670</v>
      </c>
      <c r="X60" s="10">
        <v>14.35</v>
      </c>
      <c r="Y60" s="10">
        <v>14.4</v>
      </c>
      <c r="Z60" s="10">
        <v>13.88</v>
      </c>
      <c r="AA60" s="10">
        <v>13.95</v>
      </c>
      <c r="AB60" s="95">
        <v>18435300</v>
      </c>
      <c r="AC60" s="10">
        <v>13.9</v>
      </c>
      <c r="AE60" s="138">
        <f t="shared" si="4"/>
        <v>-2.1126760563380254E-2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18.138300000000001</v>
      </c>
      <c r="W61" s="133">
        <v>42669</v>
      </c>
      <c r="X61" s="10">
        <v>13.99</v>
      </c>
      <c r="Y61" s="10">
        <v>14.39</v>
      </c>
      <c r="Z61" s="10">
        <v>13.9</v>
      </c>
      <c r="AA61" s="10">
        <v>14.25</v>
      </c>
      <c r="AB61" s="95">
        <v>13519800</v>
      </c>
      <c r="AC61" s="10">
        <v>14.2</v>
      </c>
      <c r="AE61" s="138">
        <f t="shared" si="4"/>
        <v>4.9539985845716838E-3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17.962199999999999</v>
      </c>
      <c r="W62" s="133">
        <v>42668</v>
      </c>
      <c r="X62" s="10">
        <v>14.45</v>
      </c>
      <c r="Y62" s="10">
        <v>14.65</v>
      </c>
      <c r="Z62" s="10">
        <v>14.15</v>
      </c>
      <c r="AA62" s="10">
        <v>14.18</v>
      </c>
      <c r="AB62" s="95">
        <v>9830500</v>
      </c>
      <c r="AC62" s="10">
        <v>14.13</v>
      </c>
      <c r="AE62" s="138">
        <f t="shared" si="4"/>
        <v>-2.8198074277854035E-2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17.786100000000001</v>
      </c>
      <c r="W63" s="133">
        <v>42667</v>
      </c>
      <c r="X63" s="10">
        <v>14.59</v>
      </c>
      <c r="Y63" s="10">
        <v>14.77</v>
      </c>
      <c r="Z63" s="10">
        <v>14.26</v>
      </c>
      <c r="AA63" s="10">
        <v>14.59</v>
      </c>
      <c r="AB63" s="95">
        <v>10074900</v>
      </c>
      <c r="AC63" s="10">
        <v>14.54</v>
      </c>
      <c r="AE63" s="138">
        <f t="shared" si="4"/>
        <v>-3.4270047978067764E-3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17.61</v>
      </c>
      <c r="W64" s="133">
        <v>42664</v>
      </c>
      <c r="X64" s="10">
        <v>14.57</v>
      </c>
      <c r="Y64" s="10">
        <v>14.75</v>
      </c>
      <c r="Z64" s="10">
        <v>14.5</v>
      </c>
      <c r="AA64" s="10">
        <v>14.64</v>
      </c>
      <c r="AB64" s="95">
        <v>8355000</v>
      </c>
      <c r="AC64" s="10">
        <v>14.59</v>
      </c>
      <c r="AE64" s="138">
        <f t="shared" si="4"/>
        <v>-4.0955631399317571E-3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17.433899999999998</v>
      </c>
      <c r="W65" s="133">
        <v>42663</v>
      </c>
      <c r="X65" s="10">
        <v>14.47</v>
      </c>
      <c r="Y65" s="10">
        <v>14.7</v>
      </c>
      <c r="Z65" s="10">
        <v>14.27</v>
      </c>
      <c r="AA65" s="10">
        <v>14.7</v>
      </c>
      <c r="AB65" s="95">
        <v>12850500</v>
      </c>
      <c r="AC65" s="10">
        <v>14.65</v>
      </c>
      <c r="AE65" s="138">
        <f t="shared" si="4"/>
        <v>3.4246575342467001E-3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17.2578</v>
      </c>
      <c r="W66" s="133">
        <v>42662</v>
      </c>
      <c r="X66" s="10">
        <v>14.35</v>
      </c>
      <c r="Y66" s="10">
        <v>14.86</v>
      </c>
      <c r="Z66" s="10">
        <v>14.31</v>
      </c>
      <c r="AA66" s="10">
        <v>14.65</v>
      </c>
      <c r="AB66" s="95">
        <v>15798500</v>
      </c>
      <c r="AC66" s="10">
        <v>14.6</v>
      </c>
      <c r="AE66" s="138">
        <f t="shared" si="4"/>
        <v>3.180212014134276E-2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17.081699999999998</v>
      </c>
      <c r="W67" s="133">
        <v>42661</v>
      </c>
      <c r="X67" s="10">
        <v>14.4</v>
      </c>
      <c r="Y67" s="10">
        <v>14.42</v>
      </c>
      <c r="Z67" s="10">
        <v>14.01</v>
      </c>
      <c r="AA67" s="10">
        <v>14.2</v>
      </c>
      <c r="AB67" s="95">
        <v>15738400</v>
      </c>
      <c r="AC67" s="10">
        <v>14.15</v>
      </c>
      <c r="AE67" s="138">
        <f t="shared" si="4"/>
        <v>1.4154281670204494E-3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16.9056</v>
      </c>
      <c r="W68" s="133">
        <v>42660</v>
      </c>
      <c r="X68" s="10">
        <v>14.39</v>
      </c>
      <c r="Y68" s="10">
        <v>14.56</v>
      </c>
      <c r="Z68" s="10">
        <v>14.03</v>
      </c>
      <c r="AA68" s="10">
        <v>14.18</v>
      </c>
      <c r="AB68" s="95">
        <v>13373600</v>
      </c>
      <c r="AC68" s="10">
        <v>14.13</v>
      </c>
      <c r="AE68" s="138" t="e">
        <f>AC68/AC69-1</f>
        <v>#DIV/0!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16.729499999999998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16.5534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16.377300000000002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16.2012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16.025099999999998</v>
      </c>
    </row>
    <row r="74" spans="1:31" ht="15" customHeight="1" x14ac:dyDescent="0.25">
      <c r="B74" s="63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15.849</v>
      </c>
    </row>
    <row r="75" spans="1:31" x14ac:dyDescent="0.25">
      <c r="B75" s="63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15.6729</v>
      </c>
    </row>
    <row r="76" spans="1:31" x14ac:dyDescent="0.25">
      <c r="B76" s="63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15.4968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15.320699999999999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15.144599999999999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14.968499999999999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0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3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3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3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3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3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8" t="s">
        <v>227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35" t="s">
        <v>203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35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35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35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36" t="s">
        <v>207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36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36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35" t="s">
        <v>210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35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35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37" t="s">
        <v>238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3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3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3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34" t="s">
        <v>276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3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3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3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3" t="s">
        <v>289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3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3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299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1" t="s">
        <v>316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1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1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1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225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278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279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294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295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309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310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314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336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348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454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823" priority="88">
      <formula>F258&gt;0</formula>
    </cfRule>
    <cfRule type="expression" dxfId="82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21" priority="81">
      <formula>F251&gt;0</formula>
    </cfRule>
    <cfRule type="expression" dxfId="820" priority="82">
      <formula>F251&lt;0</formula>
    </cfRule>
  </conditionalFormatting>
  <conditionalFormatting sqref="H251:H257">
    <cfRule type="expression" dxfId="819" priority="77">
      <formula>H251&gt;0</formula>
    </cfRule>
    <cfRule type="expression" dxfId="818" priority="78">
      <formula>H251&lt;0</formula>
    </cfRule>
  </conditionalFormatting>
  <conditionalFormatting sqref="Q8">
    <cfRule type="expression" dxfId="817" priority="63">
      <formula>Q8&gt;0</formula>
    </cfRule>
    <cfRule type="expression" dxfId="816" priority="64">
      <formula>Q8&lt;0</formula>
    </cfRule>
  </conditionalFormatting>
  <conditionalFormatting sqref="Q7">
    <cfRule type="expression" dxfId="815" priority="65">
      <formula>Q7&gt;0</formula>
    </cfRule>
    <cfRule type="expression" dxfId="814" priority="66">
      <formula>Q7&lt;0</formula>
    </cfRule>
  </conditionalFormatting>
  <conditionalFormatting sqref="F359:F365">
    <cfRule type="expression" dxfId="813" priority="37">
      <formula>F359&gt;0</formula>
    </cfRule>
    <cfRule type="expression" dxfId="812" priority="38">
      <formula>F359&lt;0</formula>
    </cfRule>
  </conditionalFormatting>
  <conditionalFormatting sqref="F284:F302 H284:H302">
    <cfRule type="expression" dxfId="811" priority="59">
      <formula>F284&gt;0</formula>
    </cfRule>
    <cfRule type="expression" dxfId="810" priority="60">
      <formula>F284&lt;0</formula>
    </cfRule>
  </conditionalFormatting>
  <conditionalFormatting sqref="F277:F283">
    <cfRule type="expression" dxfId="809" priority="57">
      <formula>F277&gt;0</formula>
    </cfRule>
    <cfRule type="expression" dxfId="808" priority="58">
      <formula>F277&lt;0</formula>
    </cfRule>
  </conditionalFormatting>
  <conditionalFormatting sqref="H277:H283">
    <cfRule type="expression" dxfId="807" priority="55">
      <formula>H277&gt;0</formula>
    </cfRule>
    <cfRule type="expression" dxfId="806" priority="56">
      <formula>H277&lt;0</formula>
    </cfRule>
  </conditionalFormatting>
  <conditionalFormatting sqref="F310:F328 H310:H328">
    <cfRule type="expression" dxfId="805" priority="53">
      <formula>F310&gt;0</formula>
    </cfRule>
    <cfRule type="expression" dxfId="804" priority="54">
      <formula>F310&lt;0</formula>
    </cfRule>
  </conditionalFormatting>
  <conditionalFormatting sqref="F303:F309">
    <cfRule type="expression" dxfId="803" priority="51">
      <formula>F303&gt;0</formula>
    </cfRule>
    <cfRule type="expression" dxfId="802" priority="52">
      <formula>F303&lt;0</formula>
    </cfRule>
  </conditionalFormatting>
  <conditionalFormatting sqref="H303:H309">
    <cfRule type="expression" dxfId="801" priority="49">
      <formula>H303&gt;0</formula>
    </cfRule>
    <cfRule type="expression" dxfId="800" priority="50">
      <formula>H303&lt;0</formula>
    </cfRule>
  </conditionalFormatting>
  <conditionalFormatting sqref="F336:F353 H336:H353">
    <cfRule type="expression" dxfId="799" priority="47">
      <formula>F336&gt;0</formula>
    </cfRule>
    <cfRule type="expression" dxfId="798" priority="48">
      <formula>F336&lt;0</formula>
    </cfRule>
  </conditionalFormatting>
  <conditionalFormatting sqref="F329:F335">
    <cfRule type="expression" dxfId="797" priority="45">
      <formula>F329&gt;0</formula>
    </cfRule>
    <cfRule type="expression" dxfId="796" priority="46">
      <formula>F329&lt;0</formula>
    </cfRule>
  </conditionalFormatting>
  <conditionalFormatting sqref="H329:H335">
    <cfRule type="expression" dxfId="795" priority="43">
      <formula>H329&gt;0</formula>
    </cfRule>
    <cfRule type="expression" dxfId="794" priority="44">
      <formula>H329&lt;0</formula>
    </cfRule>
  </conditionalFormatting>
  <conditionalFormatting sqref="F354:F358 H354:H358">
    <cfRule type="expression" dxfId="793" priority="41">
      <formula>F354&gt;0</formula>
    </cfRule>
    <cfRule type="expression" dxfId="792" priority="42">
      <formula>F354&lt;0</formula>
    </cfRule>
  </conditionalFormatting>
  <conditionalFormatting sqref="F366:F381 H366:H381">
    <cfRule type="expression" dxfId="791" priority="39">
      <formula>F366&gt;0</formula>
    </cfRule>
    <cfRule type="expression" dxfId="790" priority="40">
      <formula>F366&lt;0</formula>
    </cfRule>
  </conditionalFormatting>
  <conditionalFormatting sqref="H359:H365">
    <cfRule type="expression" dxfId="789" priority="35">
      <formula>H359&gt;0</formula>
    </cfRule>
    <cfRule type="expression" dxfId="788" priority="36">
      <formula>H359&lt;0</formula>
    </cfRule>
  </conditionalFormatting>
  <conditionalFormatting sqref="F382 H382">
    <cfRule type="expression" dxfId="787" priority="33">
      <formula>F382&gt;0</formula>
    </cfRule>
    <cfRule type="expression" dxfId="786" priority="34">
      <formula>F382&lt;0</formula>
    </cfRule>
  </conditionalFormatting>
  <conditionalFormatting sqref="F383:F387 H383:H387">
    <cfRule type="expression" dxfId="785" priority="31">
      <formula>F383&gt;0</formula>
    </cfRule>
    <cfRule type="expression" dxfId="784" priority="32">
      <formula>F383&lt;0</formula>
    </cfRule>
  </conditionalFormatting>
  <conditionalFormatting sqref="F395:F410 H395:H410">
    <cfRule type="expression" dxfId="783" priority="29">
      <formula>F395&gt;0</formula>
    </cfRule>
    <cfRule type="expression" dxfId="782" priority="30">
      <formula>F395&lt;0</formula>
    </cfRule>
  </conditionalFormatting>
  <conditionalFormatting sqref="F388:F394">
    <cfRule type="expression" dxfId="781" priority="27">
      <formula>F388&gt;0</formula>
    </cfRule>
    <cfRule type="expression" dxfId="780" priority="28">
      <formula>F388&lt;0</formula>
    </cfRule>
  </conditionalFormatting>
  <conditionalFormatting sqref="H388:H394">
    <cfRule type="expression" dxfId="779" priority="25">
      <formula>H388&gt;0</formula>
    </cfRule>
    <cfRule type="expression" dxfId="778" priority="26">
      <formula>H388&lt;0</formula>
    </cfRule>
  </conditionalFormatting>
  <conditionalFormatting sqref="F412:F417 H412:H417">
    <cfRule type="expression" dxfId="777" priority="23">
      <formula>F412&gt;0</formula>
    </cfRule>
    <cfRule type="expression" dxfId="776" priority="24">
      <formula>F412&lt;0</formula>
    </cfRule>
  </conditionalFormatting>
  <conditionalFormatting sqref="F418 H418">
    <cfRule type="expression" dxfId="775" priority="21">
      <formula>F418&gt;0</formula>
    </cfRule>
    <cfRule type="expression" dxfId="774" priority="22">
      <formula>F418&lt;0</formula>
    </cfRule>
  </conditionalFormatting>
  <conditionalFormatting sqref="F419:F423 H419:H423">
    <cfRule type="expression" dxfId="773" priority="19">
      <formula>F419&gt;0</formula>
    </cfRule>
    <cfRule type="expression" dxfId="772" priority="20">
      <formula>F419&lt;0</formula>
    </cfRule>
  </conditionalFormatting>
  <conditionalFormatting sqref="F431:F446 H431:H446">
    <cfRule type="expression" dxfId="771" priority="17">
      <formula>F431&gt;0</formula>
    </cfRule>
    <cfRule type="expression" dxfId="770" priority="18">
      <formula>F431&lt;0</formula>
    </cfRule>
  </conditionalFormatting>
  <conditionalFormatting sqref="F424:F430">
    <cfRule type="expression" dxfId="769" priority="15">
      <formula>F424&gt;0</formula>
    </cfRule>
    <cfRule type="expression" dxfId="768" priority="16">
      <formula>F424&lt;0</formula>
    </cfRule>
  </conditionalFormatting>
  <conditionalFormatting sqref="H424:H430">
    <cfRule type="expression" dxfId="767" priority="13">
      <formula>H424&gt;0</formula>
    </cfRule>
    <cfRule type="expression" dxfId="766" priority="14">
      <formula>H424&lt;0</formula>
    </cfRule>
  </conditionalFormatting>
  <conditionalFormatting sqref="F447:F452 H447:H452">
    <cfRule type="expression" dxfId="765" priority="11">
      <formula>F447&gt;0</formula>
    </cfRule>
    <cfRule type="expression" dxfId="764" priority="12">
      <formula>F447&lt;0</formula>
    </cfRule>
  </conditionalFormatting>
  <conditionalFormatting sqref="F453 H453">
    <cfRule type="expression" dxfId="763" priority="9">
      <formula>F453&gt;0</formula>
    </cfRule>
    <cfRule type="expression" dxfId="762" priority="10">
      <formula>F453&lt;0</formula>
    </cfRule>
  </conditionalFormatting>
  <conditionalFormatting sqref="F454:F458 H454:H458">
    <cfRule type="expression" dxfId="761" priority="7">
      <formula>F454&gt;0</formula>
    </cfRule>
    <cfRule type="expression" dxfId="760" priority="8">
      <formula>F454&lt;0</formula>
    </cfRule>
  </conditionalFormatting>
  <conditionalFormatting sqref="F466:F481 H466:H481">
    <cfRule type="expression" dxfId="759" priority="5">
      <formula>F466&gt;0</formula>
    </cfRule>
    <cfRule type="expression" dxfId="758" priority="6">
      <formula>F466&lt;0</formula>
    </cfRule>
  </conditionalFormatting>
  <conditionalFormatting sqref="F459:F465">
    <cfRule type="expression" dxfId="757" priority="3">
      <formula>F459&gt;0</formula>
    </cfRule>
    <cfRule type="expression" dxfId="756" priority="4">
      <formula>F459&lt;0</formula>
    </cfRule>
  </conditionalFormatting>
  <conditionalFormatting sqref="H459:H465">
    <cfRule type="expression" dxfId="755" priority="1">
      <formula>H459&gt;0</formula>
    </cfRule>
    <cfRule type="expression" dxfId="75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630" t="s">
        <v>622</v>
      </c>
      <c r="W2" s="133">
        <v>42755</v>
      </c>
      <c r="X2" s="10">
        <v>34.43</v>
      </c>
      <c r="Y2" s="10">
        <v>34.6</v>
      </c>
      <c r="Z2" s="10">
        <v>34.020000000000003</v>
      </c>
      <c r="AA2" s="10">
        <v>34.090000000000003</v>
      </c>
      <c r="AB2" s="95">
        <v>6744900</v>
      </c>
      <c r="AC2" s="10">
        <v>34.090000000000003</v>
      </c>
      <c r="AD2" s="2">
        <f>Y2-Z2</f>
        <v>0.57999999999999829</v>
      </c>
      <c r="AE2" s="138">
        <f>AC2/AC3-1</f>
        <v>-4.9620548744890858E-3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42754</v>
      </c>
      <c r="X3" s="10">
        <v>34.74</v>
      </c>
      <c r="Y3" s="10">
        <v>34.99</v>
      </c>
      <c r="Z3" s="10">
        <v>34.26</v>
      </c>
      <c r="AA3" s="10">
        <v>34.26</v>
      </c>
      <c r="AB3" s="95">
        <v>6842500</v>
      </c>
      <c r="AC3" s="10">
        <v>34.26</v>
      </c>
      <c r="AD3" s="2">
        <f t="shared" ref="AD3:AD66" si="1">Y3-Z3</f>
        <v>0.73000000000000398</v>
      </c>
      <c r="AE3" s="138">
        <f t="shared" ref="AE3:AE66" si="2">AC3/AC4-1</f>
        <v>-1.8619306788885681E-2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34.090000000000003</v>
      </c>
      <c r="R4" s="505">
        <v>-5.0000000000000001E-3</v>
      </c>
      <c r="T4" s="163"/>
      <c r="W4" s="133">
        <v>42753</v>
      </c>
      <c r="X4" s="10">
        <v>34.89</v>
      </c>
      <c r="Y4" s="10">
        <v>34.99</v>
      </c>
      <c r="Z4" s="10">
        <v>34.340000000000003</v>
      </c>
      <c r="AA4" s="10">
        <v>34.909999999999997</v>
      </c>
      <c r="AB4" s="95">
        <v>5395900</v>
      </c>
      <c r="AC4" s="10">
        <v>34.909999999999997</v>
      </c>
      <c r="AD4" s="2">
        <f t="shared" si="1"/>
        <v>0.64999999999999858</v>
      </c>
      <c r="AE4" s="138">
        <f t="shared" si="2"/>
        <v>2.0091848450054517E-3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13636.000000000002</v>
      </c>
      <c r="W5" s="133">
        <v>42752</v>
      </c>
      <c r="X5" s="10">
        <v>34.1</v>
      </c>
      <c r="Y5" s="10">
        <v>34.94</v>
      </c>
      <c r="Z5" s="10">
        <v>34</v>
      </c>
      <c r="AA5" s="10">
        <v>34.840000000000003</v>
      </c>
      <c r="AB5" s="95">
        <v>7245000</v>
      </c>
      <c r="AC5" s="10">
        <v>34.840000000000003</v>
      </c>
      <c r="AD5" s="2">
        <f t="shared" si="1"/>
        <v>0.93999999999999773</v>
      </c>
      <c r="AE5" s="138">
        <f t="shared" si="2"/>
        <v>2.170087976539592E-2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42748</v>
      </c>
      <c r="X6" s="10">
        <v>33.729999999999997</v>
      </c>
      <c r="Y6" s="10">
        <v>34.43</v>
      </c>
      <c r="Z6" s="10">
        <v>33.6</v>
      </c>
      <c r="AA6" s="10">
        <v>34.1</v>
      </c>
      <c r="AB6" s="95">
        <v>6880900</v>
      </c>
      <c r="AC6" s="10">
        <v>34.1</v>
      </c>
      <c r="AD6" s="2">
        <f t="shared" si="1"/>
        <v>0.82999999999999829</v>
      </c>
      <c r="AE6" s="138">
        <f t="shared" si="2"/>
        <v>1.7303102625298328E-2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182</v>
      </c>
      <c r="Q7" s="2">
        <f>Q10+Q8</f>
        <v>1622.9699999999957</v>
      </c>
      <c r="R7">
        <v>200</v>
      </c>
      <c r="W7" s="133">
        <v>42747</v>
      </c>
      <c r="X7" s="10">
        <v>33</v>
      </c>
      <c r="Y7" s="10">
        <v>33.64</v>
      </c>
      <c r="Z7" s="10">
        <v>32.93</v>
      </c>
      <c r="AA7" s="10">
        <v>33.520000000000003</v>
      </c>
      <c r="AB7" s="95">
        <v>6169900</v>
      </c>
      <c r="AC7" s="10">
        <v>33.520000000000003</v>
      </c>
      <c r="AD7" s="2">
        <f t="shared" si="1"/>
        <v>0.71000000000000085</v>
      </c>
      <c r="AE7" s="138">
        <f t="shared" si="2"/>
        <v>1.3607499244027821E-2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185</v>
      </c>
      <c r="P8" s="34"/>
      <c r="Q8" s="2">
        <f>K28+M28-F28+Q2*Q4</f>
        <v>-124.99999999999818</v>
      </c>
      <c r="W8" s="133">
        <v>42746</v>
      </c>
      <c r="X8" s="10">
        <v>32.950000000000003</v>
      </c>
      <c r="Y8" s="10">
        <v>33.28</v>
      </c>
      <c r="Z8" s="10">
        <v>32.9</v>
      </c>
      <c r="AA8" s="10">
        <v>33.07</v>
      </c>
      <c r="AB8" s="95">
        <v>4612600</v>
      </c>
      <c r="AC8" s="10">
        <v>33.07</v>
      </c>
      <c r="AD8" s="2">
        <f t="shared" si="1"/>
        <v>0.38000000000000256</v>
      </c>
      <c r="AE8" s="138">
        <f t="shared" si="2"/>
        <v>-3.6155468514612599E-3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215</v>
      </c>
      <c r="Q9" s="138">
        <f>IF(Q2=0, 0, Q8/Q6)</f>
        <v>-9.083642177167223E-3</v>
      </c>
      <c r="W9" s="133">
        <v>42745</v>
      </c>
      <c r="X9" s="10">
        <v>32.840000000000003</v>
      </c>
      <c r="Y9" s="10">
        <v>33.450000000000003</v>
      </c>
      <c r="Z9" s="10">
        <v>32.82</v>
      </c>
      <c r="AA9" s="10">
        <v>33.19</v>
      </c>
      <c r="AB9" s="95">
        <v>7137600</v>
      </c>
      <c r="AC9" s="10">
        <v>33.19</v>
      </c>
      <c r="AD9" s="2">
        <f t="shared" si="1"/>
        <v>0.63000000000000256</v>
      </c>
      <c r="AE9" s="138">
        <f t="shared" si="2"/>
        <v>8.2017010935599988E-3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214</v>
      </c>
      <c r="P10" s="34"/>
      <c r="Q10" s="2">
        <f>M145</f>
        <v>1747.9699999999939</v>
      </c>
      <c r="W10" s="133">
        <v>42744</v>
      </c>
      <c r="X10" s="10">
        <v>33.17</v>
      </c>
      <c r="Y10" s="10">
        <v>33.19</v>
      </c>
      <c r="Z10" s="10">
        <v>32.799999999999997</v>
      </c>
      <c r="AA10" s="10">
        <v>32.92</v>
      </c>
      <c r="AB10" s="95">
        <v>5174100</v>
      </c>
      <c r="AC10" s="10">
        <v>32.92</v>
      </c>
      <c r="AD10" s="2">
        <f t="shared" si="1"/>
        <v>0.39000000000000057</v>
      </c>
      <c r="AE10" s="138">
        <f t="shared" si="2"/>
        <v>-5.7384475989126216E-3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179</v>
      </c>
      <c r="P11" s="34"/>
      <c r="Q11" s="138">
        <f>VALUE(TRIM(CLEAN(MID(U58, FIND("(", U58)+1, 5))))</f>
        <v>1.41E-2</v>
      </c>
      <c r="W11" s="133">
        <v>42741</v>
      </c>
      <c r="X11" s="10">
        <v>33.119999999999997</v>
      </c>
      <c r="Y11" s="10">
        <v>33.18</v>
      </c>
      <c r="Z11" s="10">
        <v>32.72</v>
      </c>
      <c r="AA11" s="10">
        <v>33.11</v>
      </c>
      <c r="AB11" s="95">
        <v>9158900</v>
      </c>
      <c r="AC11" s="10">
        <v>33.11</v>
      </c>
      <c r="AD11" s="2">
        <f t="shared" si="1"/>
        <v>0.46000000000000085</v>
      </c>
      <c r="AE11" s="138">
        <f t="shared" si="2"/>
        <v>-3.0111412225233281E-3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42740</v>
      </c>
      <c r="X12" s="10">
        <v>33.14</v>
      </c>
      <c r="Y12" s="10">
        <v>33.26</v>
      </c>
      <c r="Z12" s="10">
        <v>32.69</v>
      </c>
      <c r="AA12" s="10">
        <v>33.21</v>
      </c>
      <c r="AB12" s="95">
        <v>9876900</v>
      </c>
      <c r="AC12" s="10">
        <v>33.21</v>
      </c>
      <c r="AD12" s="2">
        <f t="shared" si="1"/>
        <v>0.57000000000000028</v>
      </c>
      <c r="AE12" s="138">
        <f t="shared" si="2"/>
        <v>-9.0252707581228719E-4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42739</v>
      </c>
      <c r="X13" s="10">
        <v>33.78</v>
      </c>
      <c r="Y13" s="10">
        <v>33.840000000000003</v>
      </c>
      <c r="Z13" s="10">
        <v>33.22</v>
      </c>
      <c r="AA13" s="10">
        <v>33.24</v>
      </c>
      <c r="AB13" s="95">
        <v>9150800</v>
      </c>
      <c r="AC13" s="10">
        <v>33.24</v>
      </c>
      <c r="AD13" s="2">
        <f t="shared" si="1"/>
        <v>0.62000000000000455</v>
      </c>
      <c r="AE13" s="138">
        <f t="shared" si="2"/>
        <v>-1.4234875444839812E-2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42738</v>
      </c>
      <c r="X14" s="10">
        <v>34.5</v>
      </c>
      <c r="Y14" s="10">
        <v>34.51</v>
      </c>
      <c r="Z14" s="10">
        <v>33.42</v>
      </c>
      <c r="AA14" s="10">
        <v>33.72</v>
      </c>
      <c r="AB14" s="95">
        <v>9554600</v>
      </c>
      <c r="AC14" s="10">
        <v>33.72</v>
      </c>
      <c r="AD14" s="2">
        <f t="shared" si="1"/>
        <v>1.0899999999999963</v>
      </c>
      <c r="AE14" s="138">
        <f t="shared" si="2"/>
        <v>-2.2891915386844319E-2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42734</v>
      </c>
      <c r="X15" s="10">
        <v>34.630000000000003</v>
      </c>
      <c r="Y15" s="10">
        <v>34.83</v>
      </c>
      <c r="Z15" s="10">
        <v>34.409999999999997</v>
      </c>
      <c r="AA15" s="10">
        <v>34.51</v>
      </c>
      <c r="AB15" s="95">
        <v>3876600</v>
      </c>
      <c r="AC15" s="10">
        <v>34.51</v>
      </c>
      <c r="AD15" s="2">
        <f t="shared" si="1"/>
        <v>0.42000000000000171</v>
      </c>
      <c r="AE15" s="138">
        <f t="shared" si="2"/>
        <v>-2.3128071697023911E-3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42733</v>
      </c>
      <c r="X16" s="10">
        <v>34.67</v>
      </c>
      <c r="Y16" s="10">
        <v>34.880000000000003</v>
      </c>
      <c r="Z16" s="10">
        <v>34.54</v>
      </c>
      <c r="AA16" s="10">
        <v>34.590000000000003</v>
      </c>
      <c r="AB16" s="95">
        <v>3357300</v>
      </c>
      <c r="AC16" s="10">
        <v>34.590000000000003</v>
      </c>
      <c r="AD16" s="2">
        <f t="shared" si="1"/>
        <v>0.34000000000000341</v>
      </c>
      <c r="AE16" s="138">
        <f t="shared" si="2"/>
        <v>-2.5951557093424338E-3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42732</v>
      </c>
      <c r="X17" s="10">
        <v>35.159999999999997</v>
      </c>
      <c r="Y17" s="10">
        <v>35.24</v>
      </c>
      <c r="Z17" s="10">
        <v>34.479999999999997</v>
      </c>
      <c r="AA17" s="10">
        <v>34.68</v>
      </c>
      <c r="AB17" s="95">
        <v>4910800</v>
      </c>
      <c r="AC17" s="10">
        <v>34.68</v>
      </c>
      <c r="AD17" s="2">
        <f t="shared" si="1"/>
        <v>0.76000000000000512</v>
      </c>
      <c r="AE17" s="138">
        <f t="shared" si="2"/>
        <v>-1.3932328689223783E-2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42731</v>
      </c>
      <c r="X18" s="10">
        <v>34.97</v>
      </c>
      <c r="Y18" s="10">
        <v>35.270000000000003</v>
      </c>
      <c r="Z18" s="10">
        <v>34.869999999999997</v>
      </c>
      <c r="AA18" s="10">
        <v>35.17</v>
      </c>
      <c r="AB18" s="95">
        <v>3429800</v>
      </c>
      <c r="AC18" s="10">
        <v>35.17</v>
      </c>
      <c r="AD18" s="2">
        <f t="shared" si="1"/>
        <v>0.40000000000000568</v>
      </c>
      <c r="AE18" s="138">
        <f t="shared" si="2"/>
        <v>2.5655644241733278E-3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42727</v>
      </c>
      <c r="X19" s="10">
        <v>35.06</v>
      </c>
      <c r="Y19" s="10">
        <v>35.42</v>
      </c>
      <c r="Z19" s="10">
        <v>34.96</v>
      </c>
      <c r="AA19" s="10">
        <v>35.08</v>
      </c>
      <c r="AB19" s="95">
        <v>3398400</v>
      </c>
      <c r="AC19" s="10">
        <v>35.08</v>
      </c>
      <c r="AD19" s="2">
        <f t="shared" si="1"/>
        <v>0.46000000000000085</v>
      </c>
      <c r="AE19" s="138">
        <f t="shared" si="2"/>
        <v>2.8587764436820429E-3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42726</v>
      </c>
      <c r="X20" s="10">
        <v>35.15</v>
      </c>
      <c r="Y20" s="10">
        <v>35.46</v>
      </c>
      <c r="Z20" s="10">
        <v>34.75</v>
      </c>
      <c r="AA20" s="10">
        <v>34.979999999999997</v>
      </c>
      <c r="AB20" s="95">
        <v>6358900</v>
      </c>
      <c r="AC20" s="10">
        <v>34.979999999999997</v>
      </c>
      <c r="AD20" s="2">
        <f t="shared" si="1"/>
        <v>0.71000000000000085</v>
      </c>
      <c r="AE20" s="138">
        <f t="shared" si="2"/>
        <v>-6.5322351604658602E-3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42725</v>
      </c>
      <c r="X21" s="10">
        <v>35.4</v>
      </c>
      <c r="Y21" s="10">
        <v>35.58</v>
      </c>
      <c r="Z21" s="10">
        <v>35.21</v>
      </c>
      <c r="AA21" s="10">
        <v>35.21</v>
      </c>
      <c r="AB21" s="95">
        <v>6075600</v>
      </c>
      <c r="AC21" s="10">
        <v>35.21</v>
      </c>
      <c r="AD21" s="2">
        <f t="shared" si="1"/>
        <v>0.36999999999999744</v>
      </c>
      <c r="AE21" s="138">
        <f t="shared" si="2"/>
        <v>-7.8895463510848529E-3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42724</v>
      </c>
      <c r="X22" s="10">
        <v>35.880000000000003</v>
      </c>
      <c r="Y22" s="10">
        <v>35.979999999999997</v>
      </c>
      <c r="Z22" s="10">
        <v>35.479999999999997</v>
      </c>
      <c r="AA22" s="10">
        <v>35.49</v>
      </c>
      <c r="AB22" s="95">
        <v>7667500</v>
      </c>
      <c r="AC22" s="10">
        <v>35.49</v>
      </c>
      <c r="AD22" s="2">
        <f t="shared" si="1"/>
        <v>0.5</v>
      </c>
      <c r="AE22" s="138">
        <f t="shared" si="2"/>
        <v>-1.0869565217391353E-2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42723</v>
      </c>
      <c r="X23" s="10">
        <v>36.03</v>
      </c>
      <c r="Y23" s="10">
        <v>36.44</v>
      </c>
      <c r="Z23" s="10">
        <v>35.78</v>
      </c>
      <c r="AA23" s="10">
        <v>35.880000000000003</v>
      </c>
      <c r="AB23" s="95">
        <v>8976000</v>
      </c>
      <c r="AC23" s="10">
        <v>35.880000000000003</v>
      </c>
      <c r="AD23" s="2">
        <f t="shared" si="1"/>
        <v>0.65999999999999659</v>
      </c>
      <c r="AE23" s="138">
        <f t="shared" si="2"/>
        <v>-1.6694490818028873E-3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42720</v>
      </c>
      <c r="X24" s="10">
        <v>36.020000000000003</v>
      </c>
      <c r="Y24" s="10">
        <v>36.090000000000003</v>
      </c>
      <c r="Z24" s="10">
        <v>35.659999999999997</v>
      </c>
      <c r="AA24" s="10">
        <v>35.94</v>
      </c>
      <c r="AB24" s="95">
        <v>10060200</v>
      </c>
      <c r="AC24" s="10">
        <v>35.94</v>
      </c>
      <c r="AD24" s="2">
        <f t="shared" si="1"/>
        <v>0.43000000000000682</v>
      </c>
      <c r="AE24" s="138">
        <f t="shared" si="2"/>
        <v>-5.5617352614023563E-4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42719</v>
      </c>
      <c r="X25" s="10">
        <v>34.770000000000003</v>
      </c>
      <c r="Y25" s="10">
        <v>36.049999999999997</v>
      </c>
      <c r="Z25" s="10">
        <v>34.6</v>
      </c>
      <c r="AA25" s="10">
        <v>35.96</v>
      </c>
      <c r="AB25" s="95">
        <v>12645600</v>
      </c>
      <c r="AC25" s="10">
        <v>35.96</v>
      </c>
      <c r="AD25" s="2">
        <f t="shared" si="1"/>
        <v>1.4499999999999957</v>
      </c>
      <c r="AE25" s="138">
        <f t="shared" si="2"/>
        <v>3.5714285714285809E-2</v>
      </c>
    </row>
    <row r="26" spans="1:31" x14ac:dyDescent="0.25">
      <c r="W26" s="133">
        <v>42718</v>
      </c>
      <c r="X26" s="10">
        <v>34.700000000000003</v>
      </c>
      <c r="Y26" s="10">
        <v>35.380000000000003</v>
      </c>
      <c r="Z26" s="10">
        <v>34.6</v>
      </c>
      <c r="AA26" s="10">
        <v>34.72</v>
      </c>
      <c r="AB26" s="95">
        <v>10086800</v>
      </c>
      <c r="AC26" s="10">
        <v>34.72</v>
      </c>
      <c r="AD26" s="2">
        <f t="shared" si="1"/>
        <v>0.78000000000000114</v>
      </c>
      <c r="AE26" s="138">
        <f t="shared" si="2"/>
        <v>8.7158628704240293E-3</v>
      </c>
    </row>
    <row r="27" spans="1:31" x14ac:dyDescent="0.25">
      <c r="W27" s="133">
        <v>42717</v>
      </c>
      <c r="X27" s="10">
        <v>34.020000000000003</v>
      </c>
      <c r="Y27" s="10">
        <v>34.53</v>
      </c>
      <c r="Z27" s="10">
        <v>33.840000000000003</v>
      </c>
      <c r="AA27" s="10">
        <v>34.42</v>
      </c>
      <c r="AB27" s="95">
        <v>6588600</v>
      </c>
      <c r="AC27" s="10">
        <v>34.42</v>
      </c>
      <c r="AD27" s="2">
        <f t="shared" si="1"/>
        <v>0.68999999999999773</v>
      </c>
      <c r="AE27" s="138">
        <f t="shared" si="2"/>
        <v>5.8445353594389626E-3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42716</v>
      </c>
      <c r="X28" s="10">
        <v>34.659999999999997</v>
      </c>
      <c r="Y28" s="10">
        <v>34.880000000000003</v>
      </c>
      <c r="Z28" s="10">
        <v>34.1</v>
      </c>
      <c r="AA28" s="10">
        <v>34.22</v>
      </c>
      <c r="AB28" s="95">
        <v>10577300</v>
      </c>
      <c r="AC28" s="10">
        <v>34.22</v>
      </c>
      <c r="AD28" s="2">
        <f t="shared" si="1"/>
        <v>0.78000000000000114</v>
      </c>
      <c r="AE28" s="138">
        <f t="shared" si="2"/>
        <v>-1.6101207590569322E-2</v>
      </c>
    </row>
    <row r="29" spans="1:31" ht="15.75" thickBot="1" x14ac:dyDescent="0.3">
      <c r="A29" s="356" t="s">
        <v>199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42713</v>
      </c>
      <c r="X29" s="10">
        <v>34.19</v>
      </c>
      <c r="Y29" s="10">
        <v>34.799999999999997</v>
      </c>
      <c r="Z29" s="10">
        <v>33.99</v>
      </c>
      <c r="AA29" s="10">
        <v>34.78</v>
      </c>
      <c r="AB29" s="95">
        <v>6898800</v>
      </c>
      <c r="AC29" s="10">
        <v>34.78</v>
      </c>
      <c r="AD29" s="2">
        <f t="shared" si="1"/>
        <v>0.80999999999999517</v>
      </c>
      <c r="AE29" s="138">
        <f t="shared" si="2"/>
        <v>1.7256507750804451E-2</v>
      </c>
    </row>
    <row r="30" spans="1:31" x14ac:dyDescent="0.25">
      <c r="W30" s="133">
        <v>42712</v>
      </c>
      <c r="X30" s="10">
        <v>33.869999999999997</v>
      </c>
      <c r="Y30" s="10">
        <v>34.369999999999997</v>
      </c>
      <c r="Z30" s="10">
        <v>33.5</v>
      </c>
      <c r="AA30" s="10">
        <v>34.19</v>
      </c>
      <c r="AB30" s="95">
        <v>7235000</v>
      </c>
      <c r="AC30" s="10">
        <v>34.19</v>
      </c>
      <c r="AD30" s="2">
        <f t="shared" si="1"/>
        <v>0.86999999999999744</v>
      </c>
      <c r="AE30" s="138">
        <f t="shared" si="2"/>
        <v>1.6651798988997824E-2</v>
      </c>
    </row>
    <row r="31" spans="1:31" x14ac:dyDescent="0.25">
      <c r="W31" s="133">
        <v>42711</v>
      </c>
      <c r="X31" s="10">
        <v>33.06</v>
      </c>
      <c r="Y31" s="10">
        <v>33.75</v>
      </c>
      <c r="Z31" s="10">
        <v>32.97</v>
      </c>
      <c r="AA31" s="10">
        <v>33.630000000000003</v>
      </c>
      <c r="AB31" s="95">
        <v>7508100</v>
      </c>
      <c r="AC31" s="10">
        <v>33.630000000000003</v>
      </c>
      <c r="AD31" s="2">
        <f t="shared" si="1"/>
        <v>0.78000000000000114</v>
      </c>
      <c r="AE31" s="138">
        <f t="shared" si="2"/>
        <v>1.693377683701236E-2</v>
      </c>
    </row>
    <row r="32" spans="1:31" x14ac:dyDescent="0.25">
      <c r="W32" s="133">
        <v>42710</v>
      </c>
      <c r="X32" s="10">
        <v>32.83</v>
      </c>
      <c r="Y32" s="10">
        <v>33.090000000000003</v>
      </c>
      <c r="Z32" s="10">
        <v>32.47</v>
      </c>
      <c r="AA32" s="10">
        <v>33.07</v>
      </c>
      <c r="AB32" s="95">
        <v>8534500</v>
      </c>
      <c r="AC32" s="10">
        <v>33.07</v>
      </c>
      <c r="AD32" s="2">
        <f t="shared" si="1"/>
        <v>0.62000000000000455</v>
      </c>
      <c r="AE32" s="138">
        <f t="shared" si="2"/>
        <v>4.2514424536896911E-3</v>
      </c>
    </row>
    <row r="33" spans="1:31" x14ac:dyDescent="0.25">
      <c r="W33" s="133">
        <v>42709</v>
      </c>
      <c r="X33" s="10">
        <v>33.130000000000003</v>
      </c>
      <c r="Y33" s="10">
        <v>33.22</v>
      </c>
      <c r="Z33" s="10">
        <v>32.700000000000003</v>
      </c>
      <c r="AA33" s="10">
        <v>32.93</v>
      </c>
      <c r="AB33" s="95">
        <v>10386900</v>
      </c>
      <c r="AC33" s="10">
        <v>32.93</v>
      </c>
      <c r="AD33" s="2">
        <f t="shared" si="1"/>
        <v>0.51999999999999602</v>
      </c>
      <c r="AE33" s="138">
        <f t="shared" si="2"/>
        <v>-1.1111111111111072E-2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42706</v>
      </c>
      <c r="X34" s="10">
        <v>33.299999999999997</v>
      </c>
      <c r="Y34" s="10">
        <v>33.83</v>
      </c>
      <c r="Z34" s="10">
        <v>32.869999999999997</v>
      </c>
      <c r="AA34" s="10">
        <v>33.299999999999997</v>
      </c>
      <c r="AB34" s="95">
        <v>16218700</v>
      </c>
      <c r="AC34" s="10">
        <v>33.299999999999997</v>
      </c>
      <c r="AD34" s="2">
        <f t="shared" si="1"/>
        <v>0.96000000000000085</v>
      </c>
      <c r="AE34" s="138">
        <f t="shared" si="2"/>
        <v>-1.7985611510792365E-3</v>
      </c>
    </row>
    <row r="35" spans="1:31" x14ac:dyDescent="0.25">
      <c r="A35" t="s">
        <v>460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42705</v>
      </c>
      <c r="X35" s="10">
        <v>31.16</v>
      </c>
      <c r="Y35" s="10">
        <v>33.4</v>
      </c>
      <c r="Z35" s="10">
        <v>31.09</v>
      </c>
      <c r="AA35" s="10">
        <v>33.36</v>
      </c>
      <c r="AB35" s="95">
        <v>18769000</v>
      </c>
      <c r="AC35" s="10">
        <v>33.36</v>
      </c>
      <c r="AD35" s="2">
        <f t="shared" si="1"/>
        <v>2.3099999999999987</v>
      </c>
      <c r="AE35" s="138">
        <f t="shared" si="2"/>
        <v>3.2817337461300333E-2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32.81</v>
      </c>
      <c r="Y36" s="10">
        <v>32.81</v>
      </c>
      <c r="Z36" s="10">
        <v>31.95</v>
      </c>
      <c r="AA36" s="10">
        <v>32.299999999999997</v>
      </c>
      <c r="AB36" s="95">
        <v>13633400</v>
      </c>
      <c r="AC36" s="10">
        <v>32.299999999999997</v>
      </c>
      <c r="AD36" s="2">
        <f t="shared" si="1"/>
        <v>0.86000000000000298</v>
      </c>
      <c r="AE36" s="138">
        <f t="shared" si="2"/>
        <v>-2.4169184290030343E-2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33.71</v>
      </c>
      <c r="Y37" s="10">
        <v>33.75</v>
      </c>
      <c r="Z37" s="10">
        <v>33.07</v>
      </c>
      <c r="AA37" s="10">
        <v>33.1</v>
      </c>
      <c r="AB37" s="95">
        <v>7833900</v>
      </c>
      <c r="AC37" s="10">
        <v>33.1</v>
      </c>
      <c r="AD37" s="2">
        <f t="shared" si="1"/>
        <v>0.67999999999999972</v>
      </c>
      <c r="AE37" s="138">
        <f t="shared" si="2"/>
        <v>-1.6636957813428221E-2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33.880000000000003</v>
      </c>
      <c r="Y38" s="10">
        <v>34.1</v>
      </c>
      <c r="Z38" s="10">
        <v>33.369999999999997</v>
      </c>
      <c r="AA38" s="10">
        <v>33.659999999999997</v>
      </c>
      <c r="AB38" s="95">
        <v>4896000</v>
      </c>
      <c r="AC38" s="10">
        <v>33.659999999999997</v>
      </c>
      <c r="AD38" s="2">
        <f t="shared" si="1"/>
        <v>0.73000000000000398</v>
      </c>
      <c r="AE38" s="138">
        <f t="shared" si="2"/>
        <v>-6.4935064935066622E-3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33.909999999999997</v>
      </c>
      <c r="Y39" s="10">
        <v>34.15</v>
      </c>
      <c r="Z39" s="10">
        <v>33.799999999999997</v>
      </c>
      <c r="AA39" s="10">
        <v>33.880000000000003</v>
      </c>
      <c r="AB39" s="95">
        <v>2669700</v>
      </c>
      <c r="AC39" s="10">
        <v>33.880000000000003</v>
      </c>
      <c r="AD39" s="2">
        <f t="shared" si="1"/>
        <v>0.35000000000000142</v>
      </c>
      <c r="AE39" s="138">
        <f t="shared" si="2"/>
        <v>5.3412462908011271E-3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2" t="s">
        <v>78</v>
      </c>
      <c r="P40" s="632"/>
      <c r="W40" s="133">
        <v>42697</v>
      </c>
      <c r="X40" s="10">
        <v>33.36</v>
      </c>
      <c r="Y40" s="10">
        <v>33.880000000000003</v>
      </c>
      <c r="Z40" s="10">
        <v>33.33</v>
      </c>
      <c r="AA40" s="10">
        <v>33.700000000000003</v>
      </c>
      <c r="AB40" s="95">
        <v>5608700</v>
      </c>
      <c r="AC40" s="10">
        <v>33.700000000000003</v>
      </c>
      <c r="AD40" s="2">
        <f t="shared" si="1"/>
        <v>0.55000000000000426</v>
      </c>
      <c r="AE40" s="138">
        <f t="shared" si="2"/>
        <v>6.8718255153870089E-3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37.499000000000009</v>
      </c>
      <c r="Q41" s="2"/>
      <c r="W41" s="133">
        <v>42696</v>
      </c>
      <c r="X41" s="10">
        <v>33.68</v>
      </c>
      <c r="Y41" s="10">
        <v>33.729999999999997</v>
      </c>
      <c r="Z41" s="10">
        <v>33.409999999999997</v>
      </c>
      <c r="AA41" s="10">
        <v>33.47</v>
      </c>
      <c r="AB41" s="95">
        <v>5824400</v>
      </c>
      <c r="AC41" s="10">
        <v>33.47</v>
      </c>
      <c r="AD41" s="2">
        <f t="shared" si="1"/>
        <v>0.32000000000000028</v>
      </c>
      <c r="AE41" s="138">
        <f t="shared" si="2"/>
        <v>-1.7894422904861651E-3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6">O42*$Q$4</f>
        <v>37.158100000000005</v>
      </c>
      <c r="Q42" s="2"/>
      <c r="T42" s="91" t="s">
        <v>113</v>
      </c>
      <c r="W42" s="133">
        <v>42695</v>
      </c>
      <c r="X42" s="10">
        <v>33.450000000000003</v>
      </c>
      <c r="Y42" s="10">
        <v>33.840000000000003</v>
      </c>
      <c r="Z42" s="10">
        <v>33.340000000000003</v>
      </c>
      <c r="AA42" s="10">
        <v>33.53</v>
      </c>
      <c r="AB42" s="95">
        <v>5282900</v>
      </c>
      <c r="AC42" s="10">
        <v>33.53</v>
      </c>
      <c r="AD42" s="2">
        <f t="shared" si="1"/>
        <v>0.5</v>
      </c>
      <c r="AE42" s="138">
        <f t="shared" si="2"/>
        <v>2.3916292974588416E-3</v>
      </c>
    </row>
    <row r="43" spans="1:31" ht="15.75" thickTop="1" x14ac:dyDescent="0.25">
      <c r="O43" s="83">
        <v>1.08</v>
      </c>
      <c r="P43" s="83">
        <f t="shared" si="6"/>
        <v>36.817200000000007</v>
      </c>
      <c r="Q43" s="2"/>
      <c r="T43" s="128" t="s">
        <v>98</v>
      </c>
      <c r="U43" s="98">
        <v>34.26</v>
      </c>
      <c r="W43" s="133">
        <v>42692</v>
      </c>
      <c r="X43" s="10">
        <v>33.51</v>
      </c>
      <c r="Y43" s="10">
        <v>33.880000000000003</v>
      </c>
      <c r="Z43" s="10">
        <v>33.229999999999997</v>
      </c>
      <c r="AA43" s="10">
        <v>33.450000000000003</v>
      </c>
      <c r="AB43" s="95">
        <v>5254500</v>
      </c>
      <c r="AC43" s="10">
        <v>33.450000000000003</v>
      </c>
      <c r="AD43" s="2">
        <f t="shared" si="1"/>
        <v>0.65000000000000568</v>
      </c>
      <c r="AE43" s="138">
        <f t="shared" si="2"/>
        <v>-2.0883054892602004E-3</v>
      </c>
    </row>
    <row r="44" spans="1:31" x14ac:dyDescent="0.25">
      <c r="O44" s="83">
        <v>1.07</v>
      </c>
      <c r="P44" s="83">
        <f t="shared" si="6"/>
        <v>36.476300000000009</v>
      </c>
      <c r="Q44" s="2"/>
      <c r="T44" s="93" t="s">
        <v>99</v>
      </c>
      <c r="U44" s="88">
        <v>34.43</v>
      </c>
      <c r="W44" s="133">
        <v>42691</v>
      </c>
      <c r="X44" s="10">
        <v>32.97</v>
      </c>
      <c r="Y44" s="10">
        <v>33.590000000000003</v>
      </c>
      <c r="Z44" s="10">
        <v>32.590000000000003</v>
      </c>
      <c r="AA44" s="10">
        <v>33.520000000000003</v>
      </c>
      <c r="AB44" s="95">
        <v>10176200</v>
      </c>
      <c r="AC44" s="10">
        <v>33.520000000000003</v>
      </c>
      <c r="AD44" s="2">
        <f t="shared" si="1"/>
        <v>1</v>
      </c>
      <c r="AE44" s="138">
        <f t="shared" si="2"/>
        <v>-5.3412462908011271E-3</v>
      </c>
    </row>
    <row r="45" spans="1:31" x14ac:dyDescent="0.25">
      <c r="O45" s="83">
        <v>1.06</v>
      </c>
      <c r="P45" s="83">
        <f t="shared" si="6"/>
        <v>36.135400000000004</v>
      </c>
      <c r="Q45" s="2"/>
      <c r="T45" s="93" t="s">
        <v>100</v>
      </c>
      <c r="U45" s="88" t="s">
        <v>129</v>
      </c>
      <c r="W45" s="133">
        <v>42690</v>
      </c>
      <c r="X45" s="10">
        <v>34.75</v>
      </c>
      <c r="Y45" s="10">
        <v>34.770000000000003</v>
      </c>
      <c r="Z45" s="10">
        <v>33.590000000000003</v>
      </c>
      <c r="AA45" s="10">
        <v>33.700000000000003</v>
      </c>
      <c r="AB45" s="95">
        <v>10302100</v>
      </c>
      <c r="AC45" s="10">
        <v>33.700000000000003</v>
      </c>
      <c r="AD45" s="2">
        <f t="shared" si="1"/>
        <v>1.1799999999999997</v>
      </c>
      <c r="AE45" s="138">
        <f t="shared" si="2"/>
        <v>-3.3275960986804298E-2</v>
      </c>
    </row>
    <row r="46" spans="1:31" x14ac:dyDescent="0.25">
      <c r="O46" s="83">
        <v>1.05</v>
      </c>
      <c r="P46" s="83">
        <f t="shared" si="6"/>
        <v>35.794500000000006</v>
      </c>
      <c r="Q46" s="2"/>
      <c r="T46" s="93" t="s">
        <v>101</v>
      </c>
      <c r="U46" s="88" t="s">
        <v>129</v>
      </c>
      <c r="W46" s="133">
        <v>42689</v>
      </c>
      <c r="X46" s="10">
        <v>34.619999999999997</v>
      </c>
      <c r="Y46" s="10">
        <v>34.950000000000003</v>
      </c>
      <c r="Z46" s="10">
        <v>34.04</v>
      </c>
      <c r="AA46" s="10">
        <v>34.86</v>
      </c>
      <c r="AB46" s="95">
        <v>10069200</v>
      </c>
      <c r="AC46" s="10">
        <v>34.86</v>
      </c>
      <c r="AD46" s="2">
        <f t="shared" si="1"/>
        <v>0.91000000000000369</v>
      </c>
      <c r="AE46" s="138">
        <f t="shared" si="2"/>
        <v>6.3510392609700261E-3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7">C47*(E47-D47)</f>
        <v>-33.800000000000097</v>
      </c>
      <c r="G47" s="382">
        <f t="shared" ref="G47:G60" si="8">D47*C47</f>
        <v>3591.7999999999997</v>
      </c>
      <c r="H47" s="383">
        <f t="shared" ref="H47:H60" si="9">(E47-D47)/D47</f>
        <v>-9.410323514672336E-3</v>
      </c>
      <c r="I47" s="382"/>
      <c r="O47" s="83">
        <v>1.04</v>
      </c>
      <c r="P47" s="83">
        <f t="shared" si="6"/>
        <v>35.453600000000002</v>
      </c>
      <c r="Q47" s="2"/>
      <c r="T47" s="93" t="s">
        <v>102</v>
      </c>
      <c r="U47" s="88">
        <v>36</v>
      </c>
      <c r="W47" s="133">
        <v>42688</v>
      </c>
      <c r="X47" s="10">
        <v>33.549999999999997</v>
      </c>
      <c r="Y47" s="10">
        <v>34.950000000000003</v>
      </c>
      <c r="Z47" s="10">
        <v>33.549999999999997</v>
      </c>
      <c r="AA47" s="10">
        <v>34.64</v>
      </c>
      <c r="AB47" s="95">
        <v>15593400</v>
      </c>
      <c r="AC47" s="10">
        <v>34.64</v>
      </c>
      <c r="AD47" s="2">
        <f t="shared" si="1"/>
        <v>1.4000000000000057</v>
      </c>
      <c r="AE47" s="138">
        <f t="shared" si="2"/>
        <v>3.3412887828162319E-2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7"/>
        <v>85.200000000000387</v>
      </c>
      <c r="G48" s="382">
        <f t="shared" si="8"/>
        <v>3591.7999999999997</v>
      </c>
      <c r="H48" s="383">
        <f t="shared" si="9"/>
        <v>2.3720697143493622E-2</v>
      </c>
      <c r="I48" s="382"/>
      <c r="O48" s="83">
        <v>1.03</v>
      </c>
      <c r="P48" s="83">
        <f t="shared" si="6"/>
        <v>35.112700000000004</v>
      </c>
      <c r="Q48" s="2"/>
      <c r="T48" s="93" t="s">
        <v>103</v>
      </c>
      <c r="U48" s="88">
        <v>0.646393</v>
      </c>
      <c r="W48" s="133">
        <v>42685</v>
      </c>
      <c r="X48" s="10">
        <v>32.9</v>
      </c>
      <c r="Y48" s="10">
        <v>33.54</v>
      </c>
      <c r="Z48" s="10">
        <v>32.57</v>
      </c>
      <c r="AA48" s="10">
        <v>33.520000000000003</v>
      </c>
      <c r="AB48" s="95">
        <v>11575600</v>
      </c>
      <c r="AC48" s="10">
        <v>33.520000000000003</v>
      </c>
      <c r="AD48" s="2">
        <f t="shared" si="1"/>
        <v>0.96999999999999886</v>
      </c>
      <c r="AE48" s="138">
        <f t="shared" si="2"/>
        <v>1.9774870702768732E-2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7"/>
        <v>-136.80000000000021</v>
      </c>
      <c r="G49" s="382">
        <f t="shared" si="8"/>
        <v>3591.7999999999997</v>
      </c>
      <c r="H49" s="383">
        <f t="shared" si="9"/>
        <v>-3.8086753159975562E-2</v>
      </c>
      <c r="I49" s="382"/>
      <c r="O49" s="83">
        <v>1.02</v>
      </c>
      <c r="P49" s="83">
        <f t="shared" si="6"/>
        <v>34.771800000000006</v>
      </c>
      <c r="Q49" s="2"/>
      <c r="T49" s="93" t="s">
        <v>104</v>
      </c>
      <c r="U49" s="88" t="s">
        <v>351</v>
      </c>
      <c r="W49" s="133">
        <v>42684</v>
      </c>
      <c r="X49" s="10">
        <v>32.19</v>
      </c>
      <c r="Y49" s="10">
        <v>33.44</v>
      </c>
      <c r="Z49" s="10">
        <v>32.130000000000003</v>
      </c>
      <c r="AA49" s="10">
        <v>32.869999999999997</v>
      </c>
      <c r="AB49" s="95">
        <v>14255900</v>
      </c>
      <c r="AC49" s="10">
        <v>32.869999999999997</v>
      </c>
      <c r="AD49" s="2">
        <f t="shared" si="1"/>
        <v>1.3099999999999952</v>
      </c>
      <c r="AE49" s="138" t="e">
        <f t="shared" si="2"/>
        <v>#DIV/0!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7"/>
        <v>-147.56000000000029</v>
      </c>
      <c r="G50" s="382">
        <f t="shared" si="8"/>
        <v>4959.3599999999997</v>
      </c>
      <c r="H50" s="383">
        <f t="shared" si="9"/>
        <v>-2.9753839205058776E-2</v>
      </c>
      <c r="I50" s="382"/>
      <c r="O50" s="83">
        <v>1.01</v>
      </c>
      <c r="P50" s="83">
        <f t="shared" si="6"/>
        <v>34.430900000000001</v>
      </c>
      <c r="Q50" s="2"/>
      <c r="T50" s="93"/>
      <c r="U50" s="88"/>
      <c r="W50" s="133">
        <v>42684</v>
      </c>
      <c r="X50" s="10" t="s">
        <v>273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7"/>
        <v>-49.199999999999591</v>
      </c>
      <c r="G51" s="382">
        <f t="shared" si="8"/>
        <v>8408.4</v>
      </c>
      <c r="H51" s="383">
        <f t="shared" si="9"/>
        <v>-5.8512915655772315E-3</v>
      </c>
      <c r="I51" s="382"/>
      <c r="O51" s="83">
        <v>1</v>
      </c>
      <c r="P51" s="83">
        <f t="shared" si="6"/>
        <v>34.090000000000003</v>
      </c>
      <c r="Q51" s="2"/>
      <c r="T51" s="93" t="s">
        <v>105</v>
      </c>
      <c r="U51" s="88" t="s">
        <v>506</v>
      </c>
      <c r="W51" s="133">
        <v>42683</v>
      </c>
      <c r="X51" s="10">
        <v>30.53</v>
      </c>
      <c r="Y51" s="10">
        <v>32.46</v>
      </c>
      <c r="Z51" s="10">
        <v>30.44</v>
      </c>
      <c r="AA51" s="10">
        <v>32.29</v>
      </c>
      <c r="AB51" s="95">
        <v>12682000</v>
      </c>
      <c r="AC51" s="10">
        <v>32.17</v>
      </c>
      <c r="AD51" s="2">
        <f t="shared" si="1"/>
        <v>2.0199999999999996</v>
      </c>
      <c r="AE51" s="138">
        <f t="shared" si="2"/>
        <v>4.4819746670997196E-2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7"/>
        <v>109.60000000000036</v>
      </c>
      <c r="G52" s="382">
        <f t="shared" si="8"/>
        <v>6994.4000000000005</v>
      </c>
      <c r="H52" s="383">
        <f t="shared" si="9"/>
        <v>1.5669678600022927E-2</v>
      </c>
      <c r="I52" s="382"/>
      <c r="O52" s="83">
        <v>0.99</v>
      </c>
      <c r="P52" s="83">
        <f t="shared" si="6"/>
        <v>33.749100000000006</v>
      </c>
      <c r="Q52" s="2"/>
      <c r="T52" s="93" t="s">
        <v>106</v>
      </c>
      <c r="U52" s="88" t="s">
        <v>428</v>
      </c>
      <c r="W52" s="133">
        <v>42682</v>
      </c>
      <c r="X52" s="10">
        <v>31.15</v>
      </c>
      <c r="Y52" s="10">
        <v>31.22</v>
      </c>
      <c r="Z52" s="10">
        <v>30.6</v>
      </c>
      <c r="AA52" s="10">
        <v>30.9</v>
      </c>
      <c r="AB52" s="95">
        <v>7260000</v>
      </c>
      <c r="AC52" s="10">
        <v>30.79</v>
      </c>
      <c r="AD52" s="2">
        <f t="shared" si="1"/>
        <v>0.61999999999999744</v>
      </c>
      <c r="AE52" s="138">
        <f t="shared" si="2"/>
        <v>-1.0604113110539881E-2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7"/>
        <v>-6.4000000000007162</v>
      </c>
      <c r="G53" s="382">
        <f t="shared" si="8"/>
        <v>6994.4000000000005</v>
      </c>
      <c r="H53" s="383">
        <f t="shared" si="9"/>
        <v>-9.150177284685914E-4</v>
      </c>
      <c r="I53" s="382"/>
      <c r="O53" s="83">
        <v>0.98</v>
      </c>
      <c r="P53" s="83">
        <f t="shared" si="6"/>
        <v>33.408200000000001</v>
      </c>
      <c r="Q53" s="2"/>
      <c r="T53" s="93" t="s">
        <v>107</v>
      </c>
      <c r="U53" s="90">
        <v>6841283</v>
      </c>
      <c r="W53" s="133">
        <v>42681</v>
      </c>
      <c r="X53" s="10">
        <v>31.19</v>
      </c>
      <c r="Y53" s="10">
        <v>31.43</v>
      </c>
      <c r="Z53" s="10">
        <v>30.99</v>
      </c>
      <c r="AA53" s="10">
        <v>31.24</v>
      </c>
      <c r="AB53" s="95">
        <v>5808400</v>
      </c>
      <c r="AC53" s="10">
        <v>31.12</v>
      </c>
      <c r="AD53" s="2">
        <f t="shared" si="1"/>
        <v>0.44000000000000128</v>
      </c>
      <c r="AE53" s="138">
        <f t="shared" si="2"/>
        <v>1.006166828951649E-2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7"/>
        <v>166.71999999999912</v>
      </c>
      <c r="G54" s="382">
        <f t="shared" si="8"/>
        <v>5554.880000000001</v>
      </c>
      <c r="H54" s="383">
        <f t="shared" si="9"/>
        <v>3.0013249611152554E-2</v>
      </c>
      <c r="I54" s="382"/>
      <c r="O54" s="83">
        <v>0.97</v>
      </c>
      <c r="P54" s="83">
        <f t="shared" si="6"/>
        <v>33.067300000000003</v>
      </c>
      <c r="T54" s="93" t="s">
        <v>110</v>
      </c>
      <c r="U54" s="90">
        <v>8123190</v>
      </c>
      <c r="W54" s="133">
        <v>42678</v>
      </c>
      <c r="X54" s="10">
        <v>30.96</v>
      </c>
      <c r="Y54" s="10">
        <v>31.53</v>
      </c>
      <c r="Z54" s="10">
        <v>30.74</v>
      </c>
      <c r="AA54" s="10">
        <v>30.92</v>
      </c>
      <c r="AB54" s="95">
        <v>7978700</v>
      </c>
      <c r="AC54" s="10">
        <v>30.81</v>
      </c>
      <c r="AD54" s="2">
        <f t="shared" si="1"/>
        <v>0.7900000000000027</v>
      </c>
      <c r="AE54" s="138">
        <f t="shared" si="2"/>
        <v>-2.9126213592233219E-3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7"/>
        <v>218.88000000000034</v>
      </c>
      <c r="G55" s="382">
        <f t="shared" si="8"/>
        <v>5544.32</v>
      </c>
      <c r="H55" s="383">
        <f t="shared" si="9"/>
        <v>3.9478240794182211E-2</v>
      </c>
      <c r="I55" s="382"/>
      <c r="O55" s="83">
        <v>0.96</v>
      </c>
      <c r="P55" s="83">
        <f t="shared" si="6"/>
        <v>32.726400000000005</v>
      </c>
      <c r="T55" s="93" t="s">
        <v>108</v>
      </c>
      <c r="U55" s="88" t="s">
        <v>507</v>
      </c>
      <c r="W55" s="133">
        <v>42677</v>
      </c>
      <c r="X55" s="10">
        <v>32.22</v>
      </c>
      <c r="Y55" s="10">
        <v>32.229999999999997</v>
      </c>
      <c r="Z55" s="10">
        <v>30.93</v>
      </c>
      <c r="AA55" s="10">
        <v>31.02</v>
      </c>
      <c r="AB55" s="95">
        <v>8920300</v>
      </c>
      <c r="AC55" s="10">
        <v>30.9</v>
      </c>
      <c r="AD55" s="2">
        <f t="shared" si="1"/>
        <v>1.2999999999999972</v>
      </c>
      <c r="AE55" s="138">
        <f t="shared" si="2"/>
        <v>-3.7383177570093573E-2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7"/>
        <v>298.88000000000034</v>
      </c>
      <c r="G56" s="382">
        <f t="shared" si="8"/>
        <v>5544.32</v>
      </c>
      <c r="H56" s="383">
        <f t="shared" si="9"/>
        <v>5.3907422371003176E-2</v>
      </c>
      <c r="I56" s="382"/>
      <c r="O56" s="83">
        <v>0.95</v>
      </c>
      <c r="P56" s="83">
        <f t="shared" si="6"/>
        <v>32.3855</v>
      </c>
      <c r="T56" s="93" t="s">
        <v>111</v>
      </c>
      <c r="U56" s="88">
        <v>16.38</v>
      </c>
      <c r="W56" s="133">
        <v>42676</v>
      </c>
      <c r="X56" s="10">
        <v>30.85</v>
      </c>
      <c r="Y56" s="10">
        <v>32.479999999999997</v>
      </c>
      <c r="Z56" s="10">
        <v>30.83</v>
      </c>
      <c r="AA56" s="10">
        <v>32.22</v>
      </c>
      <c r="AB56" s="95">
        <v>13547200</v>
      </c>
      <c r="AC56" s="10">
        <v>32.1</v>
      </c>
      <c r="AD56" s="2">
        <f t="shared" si="1"/>
        <v>1.6499999999999986</v>
      </c>
      <c r="AE56" s="138">
        <f t="shared" si="2"/>
        <v>4.6284224250326078E-2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7"/>
        <v>363.18000000000006</v>
      </c>
      <c r="G57" s="382">
        <f t="shared" si="8"/>
        <v>1845.42</v>
      </c>
      <c r="H57" s="383">
        <f t="shared" si="9"/>
        <v>0.1968007282894951</v>
      </c>
      <c r="I57" s="382"/>
      <c r="O57" s="83">
        <v>0.94</v>
      </c>
      <c r="P57" s="83">
        <f t="shared" si="6"/>
        <v>32.044600000000003</v>
      </c>
      <c r="T57" s="93" t="s">
        <v>112</v>
      </c>
      <c r="U57" s="88">
        <v>2.08</v>
      </c>
      <c r="W57" s="133">
        <v>42675</v>
      </c>
      <c r="X57" s="10">
        <v>31.09</v>
      </c>
      <c r="Y57" s="10">
        <v>31.11</v>
      </c>
      <c r="Z57" s="10">
        <v>30.69</v>
      </c>
      <c r="AA57" s="10">
        <v>30.79</v>
      </c>
      <c r="AB57" s="95">
        <v>8520000</v>
      </c>
      <c r="AC57" s="10">
        <v>30.68</v>
      </c>
      <c r="AD57" s="2">
        <f t="shared" si="1"/>
        <v>0.41999999999999815</v>
      </c>
      <c r="AE57" s="138">
        <f t="shared" si="2"/>
        <v>-5.8327932598832843E-3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7"/>
        <v>329.12000000000035</v>
      </c>
      <c r="G58" s="382">
        <f t="shared" si="8"/>
        <v>5384.48</v>
      </c>
      <c r="H58" s="383">
        <f t="shared" si="9"/>
        <v>6.1123822541823976E-2</v>
      </c>
      <c r="I58" s="382"/>
      <c r="O58" s="83">
        <v>0.93</v>
      </c>
      <c r="P58" s="83">
        <f t="shared" si="6"/>
        <v>31.703700000000005</v>
      </c>
      <c r="T58" s="93" t="s">
        <v>109</v>
      </c>
      <c r="U58" s="88" t="s">
        <v>634</v>
      </c>
      <c r="W58" s="133">
        <v>42674</v>
      </c>
      <c r="X58" s="10">
        <v>31.3</v>
      </c>
      <c r="Y58" s="10">
        <v>31.56</v>
      </c>
      <c r="Z58" s="10">
        <v>30.83</v>
      </c>
      <c r="AA58" s="10">
        <v>30.98</v>
      </c>
      <c r="AB58" s="95">
        <v>7550900</v>
      </c>
      <c r="AC58" s="10">
        <v>30.86</v>
      </c>
      <c r="AD58" s="2">
        <f t="shared" si="1"/>
        <v>0.73000000000000043</v>
      </c>
      <c r="AE58" s="138">
        <f t="shared" si="2"/>
        <v>-8.9916506101477278E-3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7"/>
        <v>169.60000000000036</v>
      </c>
      <c r="G59" s="382">
        <f t="shared" si="8"/>
        <v>5384</v>
      </c>
      <c r="H59" s="383">
        <f t="shared" si="9"/>
        <v>3.1500742942050589E-2</v>
      </c>
      <c r="I59" s="382"/>
      <c r="O59" s="83">
        <v>0.92</v>
      </c>
      <c r="P59" s="83">
        <f t="shared" si="6"/>
        <v>31.362800000000004</v>
      </c>
      <c r="W59" s="133">
        <v>42671</v>
      </c>
      <c r="X59" s="10">
        <v>30.98</v>
      </c>
      <c r="Y59" s="10">
        <v>31.43</v>
      </c>
      <c r="Z59" s="10">
        <v>30.9</v>
      </c>
      <c r="AA59" s="10">
        <v>31.26</v>
      </c>
      <c r="AB59" s="95">
        <v>6796800</v>
      </c>
      <c r="AC59" s="10">
        <v>31.14</v>
      </c>
      <c r="AD59" s="2">
        <f t="shared" si="1"/>
        <v>0.53000000000000114</v>
      </c>
      <c r="AE59" s="138">
        <f t="shared" si="2"/>
        <v>7.7669902912622657E-3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7"/>
        <v>474.7199999999998</v>
      </c>
      <c r="G60" s="382">
        <f t="shared" si="8"/>
        <v>5384.48</v>
      </c>
      <c r="H60" s="383">
        <f t="shared" si="9"/>
        <v>8.8164502421775148E-2</v>
      </c>
      <c r="I60" s="382"/>
      <c r="O60" s="83">
        <v>0.91</v>
      </c>
      <c r="P60" s="83">
        <f t="shared" si="6"/>
        <v>31.021900000000006</v>
      </c>
      <c r="W60" s="133">
        <v>42670</v>
      </c>
      <c r="X60" s="10">
        <v>30.96</v>
      </c>
      <c r="Y60" s="10">
        <v>31.2</v>
      </c>
      <c r="Z60" s="10">
        <v>30.68</v>
      </c>
      <c r="AA60" s="10">
        <v>31.02</v>
      </c>
      <c r="AB60" s="95">
        <v>7767000</v>
      </c>
      <c r="AC60" s="10">
        <v>30.9</v>
      </c>
      <c r="AD60" s="2">
        <f t="shared" si="1"/>
        <v>0.51999999999999957</v>
      </c>
      <c r="AE60" s="138">
        <f t="shared" si="2"/>
        <v>3.5725885027606541E-3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0">C61*(E61-D61)</f>
        <v>588.31999999999994</v>
      </c>
      <c r="G61" s="382">
        <f t="shared" ref="G61" si="11">D61*C61</f>
        <v>5384.48</v>
      </c>
      <c r="H61" s="383">
        <f t="shared" ref="H61" si="12">(E61-D61)/D61</f>
        <v>0.10926217573470418</v>
      </c>
      <c r="I61" s="382"/>
      <c r="O61" s="83">
        <v>0.9</v>
      </c>
      <c r="P61" s="83">
        <f t="shared" si="6"/>
        <v>30.681000000000004</v>
      </c>
      <c r="W61" s="133">
        <v>42669</v>
      </c>
      <c r="X61" s="10">
        <v>30.79</v>
      </c>
      <c r="Y61" s="10">
        <v>31.13</v>
      </c>
      <c r="Z61" s="10">
        <v>30.75</v>
      </c>
      <c r="AA61" s="10">
        <v>30.9</v>
      </c>
      <c r="AB61" s="95">
        <v>4870400</v>
      </c>
      <c r="AC61" s="10">
        <v>30.79</v>
      </c>
      <c r="AD61" s="2">
        <f t="shared" si="1"/>
        <v>0.37999999999999901</v>
      </c>
      <c r="AE61" s="138">
        <f t="shared" si="2"/>
        <v>-3.2467532467539417E-4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3">C62*(E62-D62)</f>
        <v>673.12000000000012</v>
      </c>
      <c r="G62" s="382">
        <f t="shared" ref="G62" si="14">D62*C62</f>
        <v>5384.48</v>
      </c>
      <c r="H62" s="383">
        <f t="shared" ref="H62" si="15">(E62-D62)/D62</f>
        <v>0.12501114313731318</v>
      </c>
      <c r="I62" s="382"/>
      <c r="W62" s="133">
        <v>42668</v>
      </c>
      <c r="X62" s="10">
        <v>31.06</v>
      </c>
      <c r="Y62" s="10">
        <v>31.06</v>
      </c>
      <c r="Z62" s="10">
        <v>30.86</v>
      </c>
      <c r="AA62" s="10">
        <v>30.91</v>
      </c>
      <c r="AB62" s="95">
        <v>4300300</v>
      </c>
      <c r="AC62" s="10">
        <v>30.8</v>
      </c>
      <c r="AD62" s="2">
        <f t="shared" si="1"/>
        <v>0.19999999999999929</v>
      </c>
      <c r="AE62" s="138">
        <f t="shared" si="2"/>
        <v>-8.3708950418543981E-3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6">C63*(E63-D63)</f>
        <v>597.9200000000003</v>
      </c>
      <c r="G63" s="382">
        <f t="shared" ref="G63" si="17">D63*C63</f>
        <v>5384.48</v>
      </c>
      <c r="H63" s="383">
        <f t="shared" ref="H63" si="18">(E63-D63)/D63</f>
        <v>0.11104507770481092</v>
      </c>
      <c r="I63" s="382"/>
      <c r="W63" s="133">
        <v>42667</v>
      </c>
      <c r="X63" s="10">
        <v>30.85</v>
      </c>
      <c r="Y63" s="10">
        <v>31.29</v>
      </c>
      <c r="Z63" s="10">
        <v>30.84</v>
      </c>
      <c r="AA63" s="10">
        <v>31.18</v>
      </c>
      <c r="AB63" s="95">
        <v>5322000</v>
      </c>
      <c r="AC63" s="10">
        <v>31.06</v>
      </c>
      <c r="AD63" s="2">
        <f t="shared" si="1"/>
        <v>0.44999999999999929</v>
      </c>
      <c r="AE63" s="138">
        <f t="shared" si="2"/>
        <v>1.337683523654154E-2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19">C64*(E64-D64)</f>
        <v>489.12000000000035</v>
      </c>
      <c r="G64" s="382">
        <f t="shared" ref="G64" si="20">D64*C64</f>
        <v>5384.48</v>
      </c>
      <c r="H64" s="383">
        <f t="shared" ref="H64" si="21">(E64-D64)/D64</f>
        <v>9.0838855376935257E-2</v>
      </c>
      <c r="I64" s="382"/>
      <c r="W64" s="133">
        <v>42664</v>
      </c>
      <c r="X64" s="10">
        <v>30.98</v>
      </c>
      <c r="Y64" s="10">
        <v>31.09</v>
      </c>
      <c r="Z64" s="10">
        <v>30.65</v>
      </c>
      <c r="AA64" s="10">
        <v>30.76</v>
      </c>
      <c r="AB64" s="95">
        <v>8730300</v>
      </c>
      <c r="AC64" s="10">
        <v>30.65</v>
      </c>
      <c r="AD64" s="2">
        <f t="shared" si="1"/>
        <v>0.44000000000000128</v>
      </c>
      <c r="AE64" s="138">
        <f t="shared" si="2"/>
        <v>-5.1931191171697977E-3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2">C65*(E65-D65)</f>
        <v>409.12000000000035</v>
      </c>
      <c r="G65" s="382">
        <f t="shared" ref="G65" si="23">D65*C65</f>
        <v>5384.48</v>
      </c>
      <c r="H65" s="383">
        <f t="shared" ref="H65" si="24">(E65-D65)/D65</f>
        <v>7.5981338959379613E-2</v>
      </c>
      <c r="I65" s="382"/>
      <c r="W65" s="133">
        <v>42663</v>
      </c>
      <c r="X65" s="10">
        <v>31.03</v>
      </c>
      <c r="Y65" s="10">
        <v>31.16</v>
      </c>
      <c r="Z65" s="10">
        <v>30.79</v>
      </c>
      <c r="AA65" s="10">
        <v>30.92</v>
      </c>
      <c r="AB65" s="95">
        <v>8740800</v>
      </c>
      <c r="AC65" s="10">
        <v>30.81</v>
      </c>
      <c r="AD65" s="2">
        <f t="shared" si="1"/>
        <v>0.37000000000000099</v>
      </c>
      <c r="AE65" s="138">
        <f t="shared" si="2"/>
        <v>-2.5898348980253338E-3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5">C66*(E66-D66)</f>
        <v>439.52</v>
      </c>
      <c r="G66" s="382">
        <f t="shared" ref="G66" si="26">D66*C66</f>
        <v>5384.48</v>
      </c>
      <c r="H66" s="383">
        <f t="shared" ref="H66" si="27">(E66-D66)/D66</f>
        <v>8.16271951980507E-2</v>
      </c>
      <c r="I66" s="382"/>
      <c r="W66" s="133">
        <v>42662</v>
      </c>
      <c r="X66" s="10">
        <v>30.49</v>
      </c>
      <c r="Y66" s="10">
        <v>31.06</v>
      </c>
      <c r="Z66" s="10">
        <v>30.26</v>
      </c>
      <c r="AA66" s="10">
        <v>31.01</v>
      </c>
      <c r="AB66" s="95">
        <v>10211800</v>
      </c>
      <c r="AC66" s="10">
        <v>30.89</v>
      </c>
      <c r="AD66" s="2">
        <f t="shared" si="1"/>
        <v>0.79999999999999716</v>
      </c>
      <c r="AE66" s="138">
        <f t="shared" si="2"/>
        <v>1.1791680314444886E-2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28">C67*(E67-D67)</f>
        <v>369.12000000000035</v>
      </c>
      <c r="G67" s="382">
        <f t="shared" ref="G67" si="29">D67*C67</f>
        <v>5384.48</v>
      </c>
      <c r="H67" s="383">
        <f t="shared" ref="H67" si="30">(E67-D67)/D67</f>
        <v>6.8552580750601791E-2</v>
      </c>
      <c r="I67" s="382"/>
      <c r="W67" s="133">
        <v>42661</v>
      </c>
      <c r="X67" s="10">
        <v>30.86</v>
      </c>
      <c r="Y67" s="10">
        <v>30.94</v>
      </c>
      <c r="Z67" s="10">
        <v>30.5</v>
      </c>
      <c r="AA67" s="10">
        <v>30.64</v>
      </c>
      <c r="AB67" s="95">
        <v>9959500</v>
      </c>
      <c r="AC67" s="10">
        <v>30.53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1">C68*(E68-D68)</f>
        <v>341.92000000000007</v>
      </c>
      <c r="G68" s="382">
        <f t="shared" ref="G68" si="32">D68*C68</f>
        <v>5384.48</v>
      </c>
      <c r="H68" s="383">
        <f t="shared" ref="H68" si="33">(E68-D68)/D68</f>
        <v>6.3501025168632833E-2</v>
      </c>
      <c r="I68" s="382"/>
      <c r="W68" s="133">
        <v>42660</v>
      </c>
      <c r="X68" s="10">
        <v>31.33</v>
      </c>
      <c r="Y68" s="10">
        <v>31.34</v>
      </c>
      <c r="Z68" s="10">
        <v>30.69</v>
      </c>
      <c r="AA68" s="10">
        <v>30.83</v>
      </c>
      <c r="AB68" s="95">
        <v>10576500</v>
      </c>
      <c r="AC68" s="10">
        <v>30.72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4">C69*(E69-D69)</f>
        <v>442.72000000000048</v>
      </c>
      <c r="G69" s="382">
        <f t="shared" ref="G69" si="35">D69*C69</f>
        <v>5384.48</v>
      </c>
      <c r="H69" s="383">
        <f t="shared" ref="H69" si="36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37">C70*(E70-D70)</f>
        <v>90.619999999999621</v>
      </c>
      <c r="G70" s="382">
        <f t="shared" ref="G70" si="38">D70*C70</f>
        <v>7821.38</v>
      </c>
      <c r="H70" s="383">
        <f t="shared" ref="H70" si="39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0">C71*(E71-D71)</f>
        <v>51.480000000000103</v>
      </c>
      <c r="G71" s="382">
        <f t="shared" ref="G71:G73" si="41">D71*C71</f>
        <v>8837.92</v>
      </c>
      <c r="H71" s="383">
        <f t="shared" ref="H71:H73" si="42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0"/>
        <v>-376.80000000000007</v>
      </c>
      <c r="G72" s="382">
        <f t="shared" si="41"/>
        <v>10159.799999999999</v>
      </c>
      <c r="H72" s="383">
        <f t="shared" si="42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0"/>
        <v>-388.00000000000239</v>
      </c>
      <c r="G73" s="382">
        <f t="shared" si="41"/>
        <v>13408.000000000002</v>
      </c>
      <c r="H73" s="383">
        <f t="shared" si="42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3">C74*(E74-D74)</f>
        <v>-262.9400000000004</v>
      </c>
      <c r="G74" s="382">
        <f t="shared" ref="G74" si="44">D74*C74</f>
        <v>13354.939999999999</v>
      </c>
      <c r="H74" s="383">
        <f t="shared" ref="H74:H76" si="45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3"/>
        <v>-514.93999999999858</v>
      </c>
      <c r="G75" s="382">
        <f t="shared" ref="G75:G80" si="46">D75*C75</f>
        <v>13354.939999999999</v>
      </c>
      <c r="H75" s="383">
        <f t="shared" si="45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3"/>
        <v>-582.93999999999892</v>
      </c>
      <c r="G76" s="382">
        <f t="shared" si="46"/>
        <v>16522.939999999999</v>
      </c>
      <c r="H76" s="383">
        <f t="shared" si="45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47">C77*(E77-D77)</f>
        <v>-292.93999999999801</v>
      </c>
      <c r="G77" s="382">
        <f t="shared" si="46"/>
        <v>16522.939999999999</v>
      </c>
      <c r="H77" s="383">
        <f t="shared" ref="H77" si="48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49">C78*(E78-D78)</f>
        <v>-217.93999999999869</v>
      </c>
      <c r="G78" s="382">
        <f t="shared" si="46"/>
        <v>16522.939999999999</v>
      </c>
      <c r="H78" s="383">
        <f t="shared" ref="H78" si="50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1">C79*(E79-D79)</f>
        <v>-92.93999999999869</v>
      </c>
      <c r="G79" s="382">
        <f t="shared" si="46"/>
        <v>16522.939999999999</v>
      </c>
      <c r="H79" s="383">
        <f t="shared" ref="H79" si="52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3">C80*(E80-D80)</f>
        <v>-397.93999999999841</v>
      </c>
      <c r="G80" s="382">
        <f t="shared" si="46"/>
        <v>16522.939999999999</v>
      </c>
      <c r="H80" s="383">
        <f t="shared" ref="H80" si="54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5">C81*(E81-D81)</f>
        <v>-27.939999999997411</v>
      </c>
      <c r="G81" s="382">
        <f t="shared" ref="G81" si="56">D81*C81</f>
        <v>16522.939999999999</v>
      </c>
      <c r="H81" s="383">
        <f t="shared" ref="H81" si="57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58">C82*(E82-D82)</f>
        <v>-142.9399999999994</v>
      </c>
      <c r="G82" s="382">
        <f t="shared" ref="G82" si="59">D82*C82</f>
        <v>16522.939999999999</v>
      </c>
      <c r="H82" s="383">
        <f t="shared" ref="H82" si="60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1">C83*(E83-D83)</f>
        <v>-357.93999999999926</v>
      </c>
      <c r="G83" s="382">
        <f t="shared" ref="G83" si="62">D83*C83</f>
        <v>16522.939999999999</v>
      </c>
      <c r="H83" s="383">
        <f t="shared" ref="H83" si="63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4">C84*(E84-D84)</f>
        <v>-442.94000000000011</v>
      </c>
      <c r="G84" s="382">
        <f t="shared" ref="G84" si="65">D84*C84</f>
        <v>16522.939999999999</v>
      </c>
      <c r="H84" s="383">
        <f t="shared" ref="H84" si="66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67">C85*(E85-D85)</f>
        <v>-542.93999999999801</v>
      </c>
      <c r="G85" s="382">
        <f t="shared" ref="G85" si="68">D85*C85</f>
        <v>16522.939999999999</v>
      </c>
      <c r="H85" s="383">
        <f t="shared" ref="H85" si="69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0">C86*(E86-D86)</f>
        <v>-224.94000000000014</v>
      </c>
      <c r="G86" s="382">
        <f t="shared" ref="G86" si="71">D86*C86</f>
        <v>16474.939999999999</v>
      </c>
      <c r="H86" s="383">
        <f t="shared" ref="H86" si="72">(E86-D86)/D86</f>
        <v>-1.3653463988336233E-2</v>
      </c>
      <c r="I86" s="382" t="s">
        <v>190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3">C87*(E87-D87)</f>
        <v>-139.93999999999929</v>
      </c>
      <c r="G87" s="382">
        <f t="shared" ref="G87:G88" si="74">D87*C87</f>
        <v>16474.939999999999</v>
      </c>
      <c r="H87" s="383">
        <f t="shared" ref="H87:H88" si="75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3"/>
        <v>-847.93799999999919</v>
      </c>
      <c r="G88" s="382">
        <f t="shared" si="74"/>
        <v>19639.937999999998</v>
      </c>
      <c r="H88" s="383">
        <f t="shared" si="75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6">C89*(E89-D89)</f>
        <v>-833.93799999999771</v>
      </c>
      <c r="G89" s="382">
        <f t="shared" ref="G89" si="77">D89*C89</f>
        <v>22757.937999999998</v>
      </c>
      <c r="H89" s="383">
        <f t="shared" ref="H89" si="78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79">C90*(E90-D90)</f>
        <v>-840.93799999999885</v>
      </c>
      <c r="G90" s="382">
        <f t="shared" ref="G90" si="80">D90*C90</f>
        <v>22757.937999999998</v>
      </c>
      <c r="H90" s="383">
        <f t="shared" ref="H90" si="81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2">C91*(E91-D91)</f>
        <v>-700.9379999999968</v>
      </c>
      <c r="G91" s="382">
        <f t="shared" ref="G91:G92" si="83">D91*C91</f>
        <v>22757.937999999998</v>
      </c>
      <c r="H91" s="383">
        <f t="shared" ref="H91:H92" si="84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2"/>
        <v>-1125.9439999999984</v>
      </c>
      <c r="G92" s="382">
        <f t="shared" si="83"/>
        <v>25837.944</v>
      </c>
      <c r="H92" s="383">
        <f t="shared" si="84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5">C93*(E93-D93)</f>
        <v>-1205.9439999999995</v>
      </c>
      <c r="G93" s="382">
        <f t="shared" ref="G93" si="86">D93*C93</f>
        <v>25837.944</v>
      </c>
      <c r="H93" s="383">
        <f t="shared" ref="H93" si="87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88">C94*(E94-D94)</f>
        <v>-965.94399999999894</v>
      </c>
      <c r="G94" s="382">
        <f t="shared" ref="G94" si="89">D94*C94</f>
        <v>25837.944</v>
      </c>
      <c r="H94" s="383">
        <f t="shared" ref="H94" si="90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1">C95*(E95-D95)</f>
        <v>-1477.9439999999995</v>
      </c>
      <c r="G95" s="382">
        <f t="shared" ref="G95:G96" si="92">D95*C95</f>
        <v>25837.944</v>
      </c>
      <c r="H95" s="383">
        <f t="shared" ref="H95:H96" si="93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1"/>
        <v>-1773.936000000002</v>
      </c>
      <c r="G96" s="382">
        <f t="shared" si="92"/>
        <v>28845.936000000002</v>
      </c>
      <c r="H96" s="383">
        <f t="shared" si="93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4">C97*(E97-D97)</f>
        <v>-1935.9360000000017</v>
      </c>
      <c r="G97" s="382">
        <f t="shared" ref="G97" si="95">D97*C97</f>
        <v>28845.936000000002</v>
      </c>
      <c r="H97" s="383">
        <f t="shared" ref="H97" si="96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97">C98*(E98-D98)</f>
        <v>-1989.9360000000006</v>
      </c>
      <c r="G98" s="382">
        <f t="shared" ref="G98" si="98">D98*C98</f>
        <v>28845.936000000002</v>
      </c>
      <c r="H98" s="383">
        <f t="shared" ref="H98" si="99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0">C99*(E99-D99)</f>
        <v>-2133.9360000000006</v>
      </c>
      <c r="G99" s="382">
        <f t="shared" ref="G99:G100" si="101">D99*C99</f>
        <v>28845.936000000002</v>
      </c>
      <c r="H99" s="383">
        <f t="shared" ref="H99:H100" si="102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0"/>
        <v>-2505.9399999999991</v>
      </c>
      <c r="G100" s="382">
        <f t="shared" si="101"/>
        <v>31785.94</v>
      </c>
      <c r="H100" s="383">
        <f t="shared" si="102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3">C101*(E101-D101)</f>
        <v>-2945.94</v>
      </c>
      <c r="G101" s="382">
        <f t="shared" ref="G101" si="104">D101*C101</f>
        <v>31785.94</v>
      </c>
      <c r="H101" s="383">
        <f t="shared" ref="H101" si="105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6">C102*(E102-D102)</f>
        <v>-2415.9399999999991</v>
      </c>
      <c r="G102" s="382">
        <f t="shared" ref="G102" si="107">D102*C102</f>
        <v>31785.94</v>
      </c>
      <c r="H102" s="383">
        <f t="shared" ref="H102" si="108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09">C103*(E103-D103)</f>
        <v>-2785.94</v>
      </c>
      <c r="G103" s="382">
        <f t="shared" ref="G103" si="110">D103*C103</f>
        <v>31785.94</v>
      </c>
      <c r="H103" s="383">
        <f t="shared" ref="H103" si="111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2">C104*(E104-D104)</f>
        <v>-1145.9399999999996</v>
      </c>
      <c r="G104" s="382">
        <f t="shared" ref="G104:G109" si="113">D104*C104</f>
        <v>31785.94</v>
      </c>
      <c r="H104" s="383">
        <f t="shared" ref="H104:H109" si="114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2"/>
        <v>-520.01099999999701</v>
      </c>
      <c r="G105" s="382">
        <f t="shared" si="113"/>
        <v>28654.010999999999</v>
      </c>
      <c r="H105" s="383">
        <f t="shared" si="114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2"/>
        <v>-783.99999999999886</v>
      </c>
      <c r="G106" s="382">
        <f t="shared" si="113"/>
        <v>31764</v>
      </c>
      <c r="H106" s="383">
        <f t="shared" si="114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2"/>
        <v>350.64000000000027</v>
      </c>
      <c r="G107" s="382">
        <f t="shared" si="113"/>
        <v>15759.359999999999</v>
      </c>
      <c r="H107" s="383">
        <f t="shared" si="114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2"/>
        <v>-398.86400000000037</v>
      </c>
      <c r="G108" s="382">
        <f t="shared" si="113"/>
        <v>25214.864000000001</v>
      </c>
      <c r="H108" s="383">
        <f t="shared" si="114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2"/>
        <v>1280.8600000000013</v>
      </c>
      <c r="G109" s="382">
        <f t="shared" si="113"/>
        <v>12271.14</v>
      </c>
      <c r="H109" s="383">
        <f t="shared" si="114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5">C110*(E110-D110)</f>
        <v>648.8599999999991</v>
      </c>
      <c r="G110" s="382">
        <f t="shared" ref="G110:G116" si="116">D110*C110</f>
        <v>12271.14</v>
      </c>
      <c r="H110" s="383">
        <f t="shared" ref="H110:H116" si="117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5"/>
        <v>1108.8599999999985</v>
      </c>
      <c r="G111" s="382">
        <f t="shared" si="116"/>
        <v>12211.14</v>
      </c>
      <c r="H111" s="383">
        <f t="shared" si="117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5"/>
        <v>1467.7889999999991</v>
      </c>
      <c r="G112" s="382">
        <f t="shared" si="116"/>
        <v>8789.2109999999993</v>
      </c>
      <c r="H112" s="383">
        <f t="shared" si="117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5"/>
        <v>1645.7100000000005</v>
      </c>
      <c r="G113" s="382">
        <f t="shared" si="116"/>
        <v>5310.29</v>
      </c>
      <c r="H113" s="383">
        <f t="shared" si="117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5"/>
        <v>1537.7099999999996</v>
      </c>
      <c r="G114" s="382">
        <f t="shared" si="116"/>
        <v>8728.2900000000009</v>
      </c>
      <c r="H114" s="383">
        <f t="shared" si="117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5"/>
        <v>1754.0499999999997</v>
      </c>
      <c r="G115" s="382">
        <f t="shared" si="116"/>
        <v>1717.95</v>
      </c>
      <c r="H115" s="383">
        <f t="shared" si="117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5"/>
        <v>1742.0399999999997</v>
      </c>
      <c r="G116" s="382">
        <f t="shared" si="116"/>
        <v>8673.9599999999991</v>
      </c>
      <c r="H116" s="383">
        <f t="shared" si="117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18">C117*(E117-D117)</f>
        <v>1850.0399999999995</v>
      </c>
      <c r="G117" s="382">
        <f t="shared" ref="G117" si="119">D117*C117</f>
        <v>8673.9599999999991</v>
      </c>
      <c r="H117" s="383">
        <f t="shared" ref="H117" si="120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1">C118*(E118-D118)</f>
        <v>1224.0479999999991</v>
      </c>
      <c r="G118" s="382">
        <f t="shared" ref="G118:G120" si="122">D118*C118</f>
        <v>12051.951999999999</v>
      </c>
      <c r="H118" s="383">
        <f t="shared" ref="H118:H120" si="123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1"/>
        <v>1865.9700000000007</v>
      </c>
      <c r="G119" s="382">
        <f t="shared" si="122"/>
        <v>8586.0300000000007</v>
      </c>
      <c r="H119" s="383">
        <f t="shared" si="123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1"/>
        <v>1690.9679999999994</v>
      </c>
      <c r="G120" s="382">
        <f t="shared" si="122"/>
        <v>12013.031999999999</v>
      </c>
      <c r="H120" s="383">
        <f t="shared" si="123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201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4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4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4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5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4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5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4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5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4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5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4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5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4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5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4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5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4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5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4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5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4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5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4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5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4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5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4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5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4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5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4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5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4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5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4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4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4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53" priority="41">
      <formula>F51&gt;0</formula>
    </cfRule>
    <cfRule type="expression" dxfId="752" priority="42">
      <formula>F51&lt;0</formula>
    </cfRule>
  </conditionalFormatting>
  <conditionalFormatting sqref="F56:F69 F72:F116 F119:F120">
    <cfRule type="expression" dxfId="751" priority="37">
      <formula>F56&gt;0</formula>
    </cfRule>
    <cfRule type="expression" dxfId="750" priority="38">
      <formula>F56&lt;0</formula>
    </cfRule>
  </conditionalFormatting>
  <conditionalFormatting sqref="F56:F69 F72:F116 F119:F120">
    <cfRule type="expression" dxfId="749" priority="39">
      <formula>F56&gt;0</formula>
    </cfRule>
    <cfRule type="expression" dxfId="748" priority="40">
      <formula>F56&lt;0</formula>
    </cfRule>
  </conditionalFormatting>
  <conditionalFormatting sqref="H51:H69 H72:H116 H119:H120">
    <cfRule type="expression" dxfId="747" priority="35">
      <formula>H51&gt;0</formula>
    </cfRule>
    <cfRule type="expression" dxfId="746" priority="36">
      <formula>H51&lt;0</formula>
    </cfRule>
  </conditionalFormatting>
  <conditionalFormatting sqref="F47:F50">
    <cfRule type="expression" dxfId="745" priority="29">
      <formula>F47&gt;0</formula>
    </cfRule>
    <cfRule type="expression" dxfId="744" priority="30">
      <formula>F47&lt;0</formula>
    </cfRule>
  </conditionalFormatting>
  <conditionalFormatting sqref="H47:H50">
    <cfRule type="expression" dxfId="743" priority="27">
      <formula>H47&gt;0</formula>
    </cfRule>
    <cfRule type="expression" dxfId="742" priority="28">
      <formula>H47&lt;0</formula>
    </cfRule>
  </conditionalFormatting>
  <conditionalFormatting sqref="Q8">
    <cfRule type="expression" dxfId="741" priority="23">
      <formula>Q8&gt;0</formula>
    </cfRule>
    <cfRule type="expression" dxfId="740" priority="24">
      <formula>Q8&lt;0</formula>
    </cfRule>
  </conditionalFormatting>
  <conditionalFormatting sqref="Q7">
    <cfRule type="expression" dxfId="739" priority="25">
      <formula>Q7&gt;0</formula>
    </cfRule>
    <cfRule type="expression" dxfId="738" priority="26">
      <formula>Q7&lt;0</formula>
    </cfRule>
  </conditionalFormatting>
  <conditionalFormatting sqref="F70">
    <cfRule type="expression" dxfId="737" priority="19">
      <formula>F70&gt;0</formula>
    </cfRule>
    <cfRule type="expression" dxfId="736" priority="20">
      <formula>F70&lt;0</formula>
    </cfRule>
  </conditionalFormatting>
  <conditionalFormatting sqref="F70">
    <cfRule type="expression" dxfId="735" priority="21">
      <formula>F70&gt;0</formula>
    </cfRule>
    <cfRule type="expression" dxfId="734" priority="22">
      <formula>F70&lt;0</formula>
    </cfRule>
  </conditionalFormatting>
  <conditionalFormatting sqref="H70">
    <cfRule type="expression" dxfId="733" priority="17">
      <formula>H70&gt;0</formula>
    </cfRule>
    <cfRule type="expression" dxfId="732" priority="18">
      <formula>H70&lt;0</formula>
    </cfRule>
  </conditionalFormatting>
  <conditionalFormatting sqref="F71">
    <cfRule type="expression" dxfId="731" priority="13">
      <formula>F71&gt;0</formula>
    </cfRule>
    <cfRule type="expression" dxfId="730" priority="14">
      <formula>F71&lt;0</formula>
    </cfRule>
  </conditionalFormatting>
  <conditionalFormatting sqref="F71">
    <cfRule type="expression" dxfId="729" priority="15">
      <formula>F71&gt;0</formula>
    </cfRule>
    <cfRule type="expression" dxfId="728" priority="16">
      <formula>F71&lt;0</formula>
    </cfRule>
  </conditionalFormatting>
  <conditionalFormatting sqref="H71">
    <cfRule type="expression" dxfId="727" priority="11">
      <formula>H71&gt;0</formula>
    </cfRule>
    <cfRule type="expression" dxfId="726" priority="12">
      <formula>H71&lt;0</formula>
    </cfRule>
  </conditionalFormatting>
  <conditionalFormatting sqref="F117:F118">
    <cfRule type="expression" dxfId="725" priority="7">
      <formula>F117&gt;0</formula>
    </cfRule>
    <cfRule type="expression" dxfId="724" priority="8">
      <formula>F117&lt;0</formula>
    </cfRule>
  </conditionalFormatting>
  <conditionalFormatting sqref="F117:F118">
    <cfRule type="expression" dxfId="723" priority="9">
      <formula>F117&gt;0</formula>
    </cfRule>
    <cfRule type="expression" dxfId="722" priority="10">
      <formula>F117&lt;0</formula>
    </cfRule>
  </conditionalFormatting>
  <conditionalFormatting sqref="H117:H118">
    <cfRule type="expression" dxfId="721" priority="5">
      <formula>H117&gt;0</formula>
    </cfRule>
    <cfRule type="expression" dxfId="720" priority="6">
      <formula>H117&lt;0</formula>
    </cfRule>
  </conditionalFormatting>
  <conditionalFormatting sqref="F35">
    <cfRule type="expression" dxfId="719" priority="3">
      <formula>F35&gt;0</formula>
    </cfRule>
    <cfRule type="expression" dxfId="718" priority="4">
      <formula>F35&lt;0</formula>
    </cfRule>
  </conditionalFormatting>
  <conditionalFormatting sqref="H35">
    <cfRule type="expression" dxfId="717" priority="1">
      <formula>H35&gt;0</formula>
    </cfRule>
    <cfRule type="expression" dxfId="71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285</v>
      </c>
      <c r="W2" s="133">
        <v>42755</v>
      </c>
      <c r="X2" s="10">
        <v>12.45</v>
      </c>
      <c r="Y2" s="10">
        <v>12.48</v>
      </c>
      <c r="Z2" s="10">
        <v>12.31</v>
      </c>
      <c r="AA2" s="10">
        <v>12.36</v>
      </c>
      <c r="AB2" s="95">
        <v>28629100</v>
      </c>
      <c r="AC2" s="10">
        <v>12.36</v>
      </c>
      <c r="AD2" s="2">
        <f>Y2-Z2</f>
        <v>0.16999999999999993</v>
      </c>
      <c r="AE2" s="138">
        <f>AC2/AC3-1</f>
        <v>-5.6315366049879412E-3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12.36</v>
      </c>
      <c r="T3" s="1"/>
      <c r="W3" s="133">
        <v>42754</v>
      </c>
      <c r="X3" s="10">
        <v>12.4</v>
      </c>
      <c r="Y3" s="10">
        <v>12.56</v>
      </c>
      <c r="Z3" s="10">
        <v>12.34</v>
      </c>
      <c r="AA3" s="10">
        <v>12.43</v>
      </c>
      <c r="AB3" s="95">
        <v>30135600</v>
      </c>
      <c r="AC3" s="10">
        <v>12.43</v>
      </c>
      <c r="AD3" s="2">
        <f t="shared" ref="AD3:AD66" si="0">Y3-Z3</f>
        <v>0.22000000000000064</v>
      </c>
      <c r="AE3" s="138">
        <f t="shared" ref="AE3:AE66" si="1">AC3/AC4-1</f>
        <v>1.6116035455278066E-3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12.36</v>
      </c>
      <c r="R4" s="505">
        <v>-5.5999999999999999E-3</v>
      </c>
      <c r="T4" s="163"/>
      <c r="W4" s="133">
        <v>42753</v>
      </c>
      <c r="X4" s="10">
        <v>12.43</v>
      </c>
      <c r="Y4" s="10">
        <v>12.45</v>
      </c>
      <c r="Z4" s="10">
        <v>12.3</v>
      </c>
      <c r="AA4" s="10">
        <v>12.41</v>
      </c>
      <c r="AB4" s="95">
        <v>33830800</v>
      </c>
      <c r="AC4" s="10">
        <v>12.41</v>
      </c>
      <c r="AD4" s="2">
        <f t="shared" si="0"/>
        <v>0.14999999999999858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42753</v>
      </c>
      <c r="X5" s="10" t="s">
        <v>442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42752</v>
      </c>
      <c r="X6" s="10">
        <v>12.65</v>
      </c>
      <c r="Y6" s="10">
        <v>12.73</v>
      </c>
      <c r="Z6" s="10">
        <v>12.54</v>
      </c>
      <c r="AA6" s="10">
        <v>12.61</v>
      </c>
      <c r="AB6" s="95">
        <v>49069500</v>
      </c>
      <c r="AC6" s="10">
        <v>12.41</v>
      </c>
      <c r="AD6" s="2">
        <f t="shared" si="0"/>
        <v>0.19000000000000128</v>
      </c>
      <c r="AE6" s="138">
        <f t="shared" si="1"/>
        <v>-1.6090104585679832E-3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42748</v>
      </c>
      <c r="X7" s="10">
        <v>12.62</v>
      </c>
      <c r="Y7" s="10">
        <v>12.67</v>
      </c>
      <c r="Z7" s="10">
        <v>12.5</v>
      </c>
      <c r="AA7" s="10">
        <v>12.63</v>
      </c>
      <c r="AB7" s="95">
        <v>29197100</v>
      </c>
      <c r="AC7" s="10">
        <v>12.43</v>
      </c>
      <c r="AD7" s="2">
        <f t="shared" si="0"/>
        <v>0.16999999999999993</v>
      </c>
      <c r="AE7" s="138">
        <f t="shared" si="1"/>
        <v>3.2284100080710587E-3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42747</v>
      </c>
      <c r="X8" s="10">
        <v>12.66</v>
      </c>
      <c r="Y8" s="10">
        <v>12.68</v>
      </c>
      <c r="Z8" s="10">
        <v>12.35</v>
      </c>
      <c r="AA8" s="10">
        <v>12.59</v>
      </c>
      <c r="AB8" s="95">
        <v>36493300</v>
      </c>
      <c r="AC8" s="10">
        <v>12.39</v>
      </c>
      <c r="AD8" s="2">
        <f t="shared" si="0"/>
        <v>0.33000000000000007</v>
      </c>
      <c r="AE8" s="138">
        <f t="shared" si="1"/>
        <v>-6.4153969526864474E-3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42746</v>
      </c>
      <c r="X9" s="10">
        <v>12.71</v>
      </c>
      <c r="Y9" s="10">
        <v>12.72</v>
      </c>
      <c r="Z9" s="10">
        <v>12.51</v>
      </c>
      <c r="AA9" s="10">
        <v>12.67</v>
      </c>
      <c r="AB9" s="95">
        <v>49718700</v>
      </c>
      <c r="AC9" s="10">
        <v>12.47</v>
      </c>
      <c r="AD9" s="2">
        <f t="shared" si="0"/>
        <v>0.21000000000000085</v>
      </c>
      <c r="AE9" s="138">
        <f t="shared" si="1"/>
        <v>-1.4229249011857736E-2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M92</f>
        <v>251.26000000000022</v>
      </c>
      <c r="W10" s="133">
        <v>42745</v>
      </c>
      <c r="X10" s="10">
        <v>12.7</v>
      </c>
      <c r="Y10" s="10">
        <v>13.02</v>
      </c>
      <c r="Z10" s="10">
        <v>12.66</v>
      </c>
      <c r="AA10" s="10">
        <v>12.85</v>
      </c>
      <c r="AB10" s="95">
        <v>58703500</v>
      </c>
      <c r="AC10" s="10">
        <v>12.65</v>
      </c>
      <c r="AD10" s="2">
        <f t="shared" si="0"/>
        <v>0.35999999999999943</v>
      </c>
      <c r="AE10" s="138">
        <f t="shared" si="1"/>
        <v>1.7699115044247815E-2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4.8500000000000001E-2</v>
      </c>
      <c r="W11" s="133">
        <v>42744</v>
      </c>
      <c r="X11" s="10">
        <v>12.79</v>
      </c>
      <c r="Y11" s="10">
        <v>12.86</v>
      </c>
      <c r="Z11" s="10">
        <v>12.63</v>
      </c>
      <c r="AA11" s="10">
        <v>12.63</v>
      </c>
      <c r="AB11" s="95">
        <v>39183400</v>
      </c>
      <c r="AC11" s="10">
        <v>12.43</v>
      </c>
      <c r="AD11" s="2">
        <f t="shared" si="0"/>
        <v>0.22999999999999865</v>
      </c>
      <c r="AE11" s="138">
        <f t="shared" si="1"/>
        <v>-1.0350318471337605E-2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42741</v>
      </c>
      <c r="X12" s="10">
        <v>12.8</v>
      </c>
      <c r="Y12" s="10">
        <v>12.84</v>
      </c>
      <c r="Z12" s="10">
        <v>12.64</v>
      </c>
      <c r="AA12" s="10">
        <v>12.76</v>
      </c>
      <c r="AB12" s="95">
        <v>40315900</v>
      </c>
      <c r="AC12" s="10">
        <v>12.56</v>
      </c>
      <c r="AD12" s="2">
        <f t="shared" si="0"/>
        <v>0.19999999999999929</v>
      </c>
      <c r="AE12" s="138">
        <f t="shared" si="1"/>
        <v>-7.9554494828959488E-4</v>
      </c>
    </row>
    <row r="13" spans="1:31" x14ac:dyDescent="0.25">
      <c r="H13" s="72"/>
      <c r="W13" s="133">
        <v>42740</v>
      </c>
      <c r="X13" s="10">
        <v>13.21</v>
      </c>
      <c r="Y13" s="10">
        <v>13.22</v>
      </c>
      <c r="Z13" s="10">
        <v>12.63</v>
      </c>
      <c r="AA13" s="10">
        <v>12.77</v>
      </c>
      <c r="AB13" s="95">
        <v>75628400</v>
      </c>
      <c r="AC13" s="10">
        <v>12.57</v>
      </c>
      <c r="AD13" s="2">
        <f t="shared" si="0"/>
        <v>0.58999999999999986</v>
      </c>
      <c r="AE13" s="138">
        <f t="shared" si="1"/>
        <v>-3.0092592592592671E-2</v>
      </c>
    </row>
    <row r="14" spans="1:31" x14ac:dyDescent="0.25">
      <c r="H14" s="72"/>
      <c r="W14" s="133">
        <v>42739</v>
      </c>
      <c r="X14" s="10">
        <v>12.77</v>
      </c>
      <c r="Y14" s="10">
        <v>13.27</v>
      </c>
      <c r="Z14" s="10">
        <v>12.74</v>
      </c>
      <c r="AA14" s="10">
        <v>13.17</v>
      </c>
      <c r="AB14" s="95">
        <v>77638100</v>
      </c>
      <c r="AC14" s="10">
        <v>12.96</v>
      </c>
      <c r="AD14" s="2">
        <f t="shared" si="0"/>
        <v>0.52999999999999936</v>
      </c>
      <c r="AE14" s="138">
        <f t="shared" si="1"/>
        <v>4.6004842615012143E-2</v>
      </c>
    </row>
    <row r="15" spans="1:31" x14ac:dyDescent="0.25">
      <c r="H15" s="72"/>
      <c r="W15" s="133">
        <v>42738</v>
      </c>
      <c r="X15" s="10">
        <v>12.2</v>
      </c>
      <c r="Y15" s="10">
        <v>12.6</v>
      </c>
      <c r="Z15" s="10">
        <v>12.13</v>
      </c>
      <c r="AA15" s="10">
        <v>12.59</v>
      </c>
      <c r="AB15" s="95">
        <v>40510800</v>
      </c>
      <c r="AC15" s="10">
        <v>12.39</v>
      </c>
      <c r="AD15" s="2">
        <f t="shared" si="0"/>
        <v>0.46999999999999886</v>
      </c>
      <c r="AE15" s="138">
        <f t="shared" si="1"/>
        <v>3.7688442211055273E-2</v>
      </c>
    </row>
    <row r="16" spans="1:31" x14ac:dyDescent="0.25">
      <c r="H16" s="72"/>
      <c r="W16" s="133">
        <v>42734</v>
      </c>
      <c r="X16" s="10">
        <v>12.24</v>
      </c>
      <c r="Y16" s="10">
        <v>12.28</v>
      </c>
      <c r="Z16" s="10">
        <v>12.08</v>
      </c>
      <c r="AA16" s="10">
        <v>12.13</v>
      </c>
      <c r="AB16" s="95">
        <v>27405700</v>
      </c>
      <c r="AC16" s="10">
        <v>11.94</v>
      </c>
      <c r="AD16" s="2">
        <f t="shared" si="0"/>
        <v>0.19999999999999929</v>
      </c>
      <c r="AE16" s="138">
        <f t="shared" si="1"/>
        <v>-8.3056478405315604E-3</v>
      </c>
    </row>
    <row r="17" spans="1:31" x14ac:dyDescent="0.25">
      <c r="H17" s="72"/>
      <c r="W17" s="133">
        <v>42733</v>
      </c>
      <c r="X17" s="10">
        <v>12.25</v>
      </c>
      <c r="Y17" s="10">
        <v>12.31</v>
      </c>
      <c r="Z17" s="10">
        <v>12.22</v>
      </c>
      <c r="AA17" s="10">
        <v>12.23</v>
      </c>
      <c r="AB17" s="95">
        <v>19819100</v>
      </c>
      <c r="AC17" s="10">
        <v>12.04</v>
      </c>
      <c r="AD17" s="2">
        <f t="shared" si="0"/>
        <v>8.9999999999999858E-2</v>
      </c>
      <c r="AE17" s="138">
        <f t="shared" si="1"/>
        <v>-1.6583747927032544E-3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42732</v>
      </c>
      <c r="X18" s="10">
        <v>12.37</v>
      </c>
      <c r="Y18" s="10">
        <v>12.45</v>
      </c>
      <c r="Z18" s="10">
        <v>12.22</v>
      </c>
      <c r="AA18" s="10">
        <v>12.25</v>
      </c>
      <c r="AB18" s="95">
        <v>26875400</v>
      </c>
      <c r="AC18" s="10">
        <v>12.06</v>
      </c>
      <c r="AD18" s="2">
        <f t="shared" si="0"/>
        <v>0.22999999999999865</v>
      </c>
      <c r="AE18" s="138">
        <f t="shared" si="1"/>
        <v>-1.066447908121404E-2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12.43</v>
      </c>
      <c r="Y19" s="10">
        <v>12.51</v>
      </c>
      <c r="Z19" s="10">
        <v>12.36</v>
      </c>
      <c r="AA19" s="10">
        <v>12.39</v>
      </c>
      <c r="AB19" s="95">
        <v>19467400</v>
      </c>
      <c r="AC19" s="10">
        <v>12.19</v>
      </c>
      <c r="AD19" s="2">
        <f t="shared" si="0"/>
        <v>0.15000000000000036</v>
      </c>
      <c r="AE19" s="138">
        <f t="shared" si="1"/>
        <v>-5.7096247960848334E-3</v>
      </c>
    </row>
    <row r="20" spans="1:31" x14ac:dyDescent="0.25">
      <c r="W20" s="133">
        <v>42727</v>
      </c>
      <c r="X20" s="10">
        <v>12.43</v>
      </c>
      <c r="Y20" s="10">
        <v>12.46</v>
      </c>
      <c r="Z20" s="10">
        <v>12.36</v>
      </c>
      <c r="AA20" s="10">
        <v>12.46</v>
      </c>
      <c r="AB20" s="95">
        <v>15621200</v>
      </c>
      <c r="AC20" s="10">
        <v>12.26</v>
      </c>
      <c r="AD20" s="2">
        <f t="shared" si="0"/>
        <v>0.10000000000000142</v>
      </c>
      <c r="AE20" s="138">
        <f t="shared" si="1"/>
        <v>4.9180327868851847E-3</v>
      </c>
    </row>
    <row r="21" spans="1:31" x14ac:dyDescent="0.25">
      <c r="W21" s="133">
        <v>42726</v>
      </c>
      <c r="X21" s="10">
        <v>12.63</v>
      </c>
      <c r="Y21" s="10">
        <v>12.64</v>
      </c>
      <c r="Z21" s="10">
        <v>12.4</v>
      </c>
      <c r="AA21" s="10">
        <v>12.4</v>
      </c>
      <c r="AB21" s="95">
        <v>27821100</v>
      </c>
      <c r="AC21" s="10">
        <v>12.2</v>
      </c>
      <c r="AD21" s="2">
        <f t="shared" si="0"/>
        <v>0.24000000000000021</v>
      </c>
      <c r="AE21" s="138">
        <f t="shared" si="1"/>
        <v>-1.9292604501607746E-2</v>
      </c>
    </row>
    <row r="22" spans="1:31" x14ac:dyDescent="0.25">
      <c r="W22" s="133">
        <v>42725</v>
      </c>
      <c r="X22" s="10">
        <v>12.73</v>
      </c>
      <c r="Y22" s="10">
        <v>12.77</v>
      </c>
      <c r="Z22" s="10">
        <v>12.64</v>
      </c>
      <c r="AA22" s="10">
        <v>12.64</v>
      </c>
      <c r="AB22" s="95">
        <v>18117100</v>
      </c>
      <c r="AC22" s="10">
        <v>12.44</v>
      </c>
      <c r="AD22" s="2">
        <f t="shared" si="0"/>
        <v>0.12999999999999901</v>
      </c>
      <c r="AE22" s="138">
        <f t="shared" si="1"/>
        <v>-1.1128775834658211E-2</v>
      </c>
    </row>
    <row r="23" spans="1:31" x14ac:dyDescent="0.25">
      <c r="W23" s="133">
        <v>42724</v>
      </c>
      <c r="X23" s="10">
        <v>12.7</v>
      </c>
      <c r="Y23" s="10">
        <v>12.82</v>
      </c>
      <c r="Z23" s="10">
        <v>12.68</v>
      </c>
      <c r="AA23" s="10">
        <v>12.78</v>
      </c>
      <c r="AB23" s="95">
        <v>17834000</v>
      </c>
      <c r="AC23" s="10">
        <v>12.58</v>
      </c>
      <c r="AD23" s="2">
        <f t="shared" si="0"/>
        <v>0.14000000000000057</v>
      </c>
      <c r="AE23" s="138">
        <f t="shared" si="1"/>
        <v>9.6308186195825929E-3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12.59</v>
      </c>
      <c r="Y24" s="10">
        <v>12.8</v>
      </c>
      <c r="Z24" s="10">
        <v>12.59</v>
      </c>
      <c r="AA24" s="10">
        <v>12.66</v>
      </c>
      <c r="AB24" s="95">
        <v>22830000</v>
      </c>
      <c r="AC24" s="10">
        <v>12.46</v>
      </c>
      <c r="AD24" s="2">
        <f t="shared" si="0"/>
        <v>0.21000000000000085</v>
      </c>
      <c r="AE24" s="138">
        <f t="shared" si="1"/>
        <v>2.4135156878519748E-3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42720</v>
      </c>
      <c r="X25" s="10">
        <v>12.66</v>
      </c>
      <c r="Y25" s="10">
        <v>12.7</v>
      </c>
      <c r="Z25" s="10">
        <v>12.56</v>
      </c>
      <c r="AA25" s="10">
        <v>12.63</v>
      </c>
      <c r="AB25" s="95">
        <v>28354900</v>
      </c>
      <c r="AC25" s="10">
        <v>12.43</v>
      </c>
      <c r="AD25" s="2">
        <f t="shared" si="0"/>
        <v>0.13999999999999879</v>
      </c>
      <c r="AE25" s="138">
        <f t="shared" si="1"/>
        <v>4.0387722132471104E-3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42719</v>
      </c>
      <c r="X26" s="10">
        <v>12.54</v>
      </c>
      <c r="Y26" s="10">
        <v>12.72</v>
      </c>
      <c r="Z26" s="10">
        <v>12.52</v>
      </c>
      <c r="AA26" s="10">
        <v>12.58</v>
      </c>
      <c r="AB26" s="95">
        <v>23774800</v>
      </c>
      <c r="AC26" s="10">
        <v>12.38</v>
      </c>
      <c r="AD26" s="2">
        <f t="shared" si="0"/>
        <v>0.20000000000000107</v>
      </c>
      <c r="AE26" s="138">
        <f t="shared" si="1"/>
        <v>4.0551500405514584E-3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42718</v>
      </c>
      <c r="X27" s="10">
        <v>12.65</v>
      </c>
      <c r="Y27" s="10">
        <v>12.79</v>
      </c>
      <c r="Z27" s="10">
        <v>12.5</v>
      </c>
      <c r="AA27" s="10">
        <v>12.53</v>
      </c>
      <c r="AB27" s="95">
        <v>42820100</v>
      </c>
      <c r="AC27" s="10">
        <v>12.33</v>
      </c>
      <c r="AD27" s="2">
        <f t="shared" si="0"/>
        <v>0.28999999999999915</v>
      </c>
      <c r="AE27" s="138">
        <f t="shared" si="1"/>
        <v>-1.9093078758949944E-2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42717</v>
      </c>
      <c r="X28" s="10">
        <v>12.84</v>
      </c>
      <c r="Y28" s="10">
        <v>12.88</v>
      </c>
      <c r="Z28" s="10">
        <v>12.75</v>
      </c>
      <c r="AA28" s="10">
        <v>12.77</v>
      </c>
      <c r="AB28" s="95">
        <v>39570500</v>
      </c>
      <c r="AC28" s="10">
        <v>12.57</v>
      </c>
      <c r="AD28" s="2">
        <f t="shared" si="0"/>
        <v>0.13000000000000078</v>
      </c>
      <c r="AE28" s="138">
        <f t="shared" si="1"/>
        <v>-3.961965134706702E-3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42716</v>
      </c>
      <c r="X29" s="10">
        <v>13.08</v>
      </c>
      <c r="Y29" s="10">
        <v>13.1</v>
      </c>
      <c r="Z29" s="10">
        <v>12.81</v>
      </c>
      <c r="AA29" s="10">
        <v>12.82</v>
      </c>
      <c r="AB29" s="95">
        <v>39596800</v>
      </c>
      <c r="AC29" s="10">
        <v>12.62</v>
      </c>
      <c r="AD29" s="2">
        <f t="shared" si="0"/>
        <v>0.28999999999999915</v>
      </c>
      <c r="AE29" s="138">
        <f t="shared" si="1"/>
        <v>-2.6234567901234684E-2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42713</v>
      </c>
      <c r="X30" s="10">
        <v>13</v>
      </c>
      <c r="Y30" s="10">
        <v>13.2</v>
      </c>
      <c r="Z30" s="10">
        <v>12.91</v>
      </c>
      <c r="AA30" s="10">
        <v>13.17</v>
      </c>
      <c r="AB30" s="95">
        <v>45256100</v>
      </c>
      <c r="AC30" s="10">
        <v>12.96</v>
      </c>
      <c r="AD30" s="2">
        <f t="shared" si="0"/>
        <v>0.28999999999999915</v>
      </c>
      <c r="AE30" s="138">
        <f t="shared" si="1"/>
        <v>1.0920436817472678E-2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42712</v>
      </c>
      <c r="X31" s="10">
        <v>13.07</v>
      </c>
      <c r="Y31" s="10">
        <v>13.15</v>
      </c>
      <c r="Z31" s="10">
        <v>12.97</v>
      </c>
      <c r="AA31" s="10">
        <v>13.03</v>
      </c>
      <c r="AB31" s="95">
        <v>41459500</v>
      </c>
      <c r="AC31" s="10">
        <v>12.82</v>
      </c>
      <c r="AD31" s="2">
        <f t="shared" si="0"/>
        <v>0.17999999999999972</v>
      </c>
      <c r="AE31" s="138">
        <f t="shared" si="1"/>
        <v>-2.3346303501945442E-3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42711</v>
      </c>
      <c r="X32" s="10">
        <v>12.59</v>
      </c>
      <c r="Y32" s="10">
        <v>13.15</v>
      </c>
      <c r="Z32" s="10">
        <v>12.54</v>
      </c>
      <c r="AA32" s="10">
        <v>13.06</v>
      </c>
      <c r="AB32" s="95">
        <v>58600400</v>
      </c>
      <c r="AC32" s="10">
        <v>12.85</v>
      </c>
      <c r="AD32" s="2">
        <f t="shared" si="0"/>
        <v>0.61000000000000121</v>
      </c>
      <c r="AE32" s="138">
        <f t="shared" si="1"/>
        <v>3.9644012944983764E-2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42710</v>
      </c>
      <c r="X33" s="10">
        <v>12.4</v>
      </c>
      <c r="Y33" s="10">
        <v>12.59</v>
      </c>
      <c r="Z33" s="10">
        <v>12.37</v>
      </c>
      <c r="AA33" s="10">
        <v>12.56</v>
      </c>
      <c r="AB33" s="95">
        <v>23923900</v>
      </c>
      <c r="AC33" s="10">
        <v>12.36</v>
      </c>
      <c r="AD33" s="2">
        <f t="shared" si="0"/>
        <v>0.22000000000000064</v>
      </c>
      <c r="AE33" s="138">
        <f t="shared" si="1"/>
        <v>9.8039215686274161E-3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42709</v>
      </c>
      <c r="X34" s="10">
        <v>12.31</v>
      </c>
      <c r="Y34" s="10">
        <v>12.5</v>
      </c>
      <c r="Z34" s="10">
        <v>12.29</v>
      </c>
      <c r="AA34" s="10">
        <v>12.44</v>
      </c>
      <c r="AB34" s="95">
        <v>36220000</v>
      </c>
      <c r="AC34" s="10">
        <v>12.24</v>
      </c>
      <c r="AD34" s="2">
        <f t="shared" si="0"/>
        <v>0.21000000000000085</v>
      </c>
      <c r="AE34" s="138">
        <f t="shared" si="1"/>
        <v>1.5767634854771728E-2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42706</v>
      </c>
      <c r="X35" s="10">
        <v>12.58</v>
      </c>
      <c r="Y35" s="10">
        <v>12.58</v>
      </c>
      <c r="Z35" s="10">
        <v>12.15</v>
      </c>
      <c r="AA35" s="10">
        <v>12.24</v>
      </c>
      <c r="AB35" s="95">
        <v>38689800</v>
      </c>
      <c r="AC35" s="10">
        <v>12.05</v>
      </c>
      <c r="AD35" s="2">
        <f t="shared" si="0"/>
        <v>0.42999999999999972</v>
      </c>
      <c r="AE35" s="138">
        <f t="shared" si="1"/>
        <v>-1.4717906786590351E-2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42705</v>
      </c>
      <c r="X36" s="10">
        <v>12.23</v>
      </c>
      <c r="Y36" s="10">
        <v>12.8</v>
      </c>
      <c r="Z36" s="10">
        <v>12.18</v>
      </c>
      <c r="AA36" s="10">
        <v>12.43</v>
      </c>
      <c r="AB36" s="95">
        <v>95143600</v>
      </c>
      <c r="AC36" s="10">
        <v>12.23</v>
      </c>
      <c r="AD36" s="2">
        <f t="shared" si="0"/>
        <v>0.62000000000000099</v>
      </c>
      <c r="AE36" s="138">
        <f t="shared" si="1"/>
        <v>3.908241291418868E-2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42704</v>
      </c>
      <c r="X37" s="10">
        <v>11.97</v>
      </c>
      <c r="Y37" s="10">
        <v>12.14</v>
      </c>
      <c r="Z37" s="10">
        <v>11.92</v>
      </c>
      <c r="AA37" s="10">
        <v>11.96</v>
      </c>
      <c r="AB37" s="95">
        <v>47646200</v>
      </c>
      <c r="AC37" s="10">
        <v>11.77</v>
      </c>
      <c r="AD37" s="2">
        <f t="shared" si="0"/>
        <v>0.22000000000000064</v>
      </c>
      <c r="AE37" s="138">
        <f t="shared" si="1"/>
        <v>3.4100596760442414E-3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42703</v>
      </c>
      <c r="X38" s="10">
        <v>11.93</v>
      </c>
      <c r="Y38" s="10">
        <v>12</v>
      </c>
      <c r="Z38" s="10">
        <v>11.87</v>
      </c>
      <c r="AA38" s="10">
        <v>11.92</v>
      </c>
      <c r="AB38" s="95">
        <v>23690800</v>
      </c>
      <c r="AC38" s="10">
        <v>11.73</v>
      </c>
      <c r="AD38" s="2">
        <f t="shared" si="0"/>
        <v>0.13000000000000078</v>
      </c>
      <c r="AE38" s="138">
        <f t="shared" si="1"/>
        <v>0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42702</v>
      </c>
      <c r="X39" s="10">
        <v>12.02</v>
      </c>
      <c r="Y39" s="10">
        <v>12.05</v>
      </c>
      <c r="Z39" s="10">
        <v>11.89</v>
      </c>
      <c r="AA39" s="10">
        <v>11.92</v>
      </c>
      <c r="AB39" s="95">
        <v>24407200</v>
      </c>
      <c r="AC39" s="10">
        <v>11.73</v>
      </c>
      <c r="AD39" s="2">
        <f t="shared" si="0"/>
        <v>0.16000000000000014</v>
      </c>
      <c r="AE39" s="138">
        <f t="shared" si="1"/>
        <v>-1.0126582278480956E-2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2" t="s">
        <v>78</v>
      </c>
      <c r="P40" s="632"/>
      <c r="W40" s="133">
        <v>42699</v>
      </c>
      <c r="X40" s="10">
        <v>11.95</v>
      </c>
      <c r="Y40" s="10">
        <v>12.06</v>
      </c>
      <c r="Z40" s="10">
        <v>11.93</v>
      </c>
      <c r="AA40" s="10">
        <v>12.04</v>
      </c>
      <c r="AB40" s="95">
        <v>11439600</v>
      </c>
      <c r="AC40" s="10">
        <v>11.85</v>
      </c>
      <c r="AD40" s="2">
        <f t="shared" si="0"/>
        <v>0.13000000000000078</v>
      </c>
      <c r="AE40" s="138">
        <f t="shared" si="1"/>
        <v>1.1955593509820561E-2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13.596</v>
      </c>
      <c r="Q41" s="2"/>
      <c r="W41" s="133">
        <v>42697</v>
      </c>
      <c r="X41" s="10">
        <v>11.9</v>
      </c>
      <c r="Y41" s="10">
        <v>12</v>
      </c>
      <c r="Z41" s="10">
        <v>11.85</v>
      </c>
      <c r="AA41" s="10">
        <v>11.9</v>
      </c>
      <c r="AB41" s="95">
        <v>22414000</v>
      </c>
      <c r="AC41" s="10">
        <v>11.71</v>
      </c>
      <c r="AD41" s="2">
        <f t="shared" si="0"/>
        <v>0.15000000000000036</v>
      </c>
      <c r="AE41" s="138">
        <f t="shared" si="1"/>
        <v>8.5470085470107371E-4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268</v>
      </c>
      <c r="O42" s="83">
        <v>1.0900000000000001</v>
      </c>
      <c r="P42" s="83">
        <f t="shared" ref="P42:P61" si="24">O42*$Q$4</f>
        <v>13.4724</v>
      </c>
      <c r="Q42" s="2"/>
      <c r="T42" s="91" t="s">
        <v>113</v>
      </c>
      <c r="W42" s="133">
        <v>42696</v>
      </c>
      <c r="X42" s="10">
        <v>11.76</v>
      </c>
      <c r="Y42" s="10">
        <v>11.91</v>
      </c>
      <c r="Z42" s="10">
        <v>11.73</v>
      </c>
      <c r="AA42" s="10">
        <v>11.89</v>
      </c>
      <c r="AB42" s="95">
        <v>24274700</v>
      </c>
      <c r="AC42" s="10">
        <v>11.7</v>
      </c>
      <c r="AD42" s="2">
        <f t="shared" si="0"/>
        <v>0.17999999999999972</v>
      </c>
      <c r="AE42" s="138">
        <f t="shared" si="1"/>
        <v>8.6206896551723755E-3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13.348800000000001</v>
      </c>
      <c r="Q43" s="2"/>
      <c r="T43" s="128" t="s">
        <v>98</v>
      </c>
      <c r="U43" s="98">
        <v>12.43</v>
      </c>
      <c r="W43" s="133">
        <v>42695</v>
      </c>
      <c r="X43" s="10">
        <v>11.77</v>
      </c>
      <c r="Y43" s="10">
        <v>11.9</v>
      </c>
      <c r="Z43" s="10">
        <v>11.77</v>
      </c>
      <c r="AA43" s="10">
        <v>11.79</v>
      </c>
      <c r="AB43" s="95">
        <v>19508600</v>
      </c>
      <c r="AC43" s="10">
        <v>11.6</v>
      </c>
      <c r="AD43" s="2">
        <f t="shared" si="0"/>
        <v>0.13000000000000078</v>
      </c>
      <c r="AE43" s="138">
        <f t="shared" si="1"/>
        <v>2.5929127052721768E-3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13.225200000000001</v>
      </c>
      <c r="Q44" s="2"/>
      <c r="T44" s="93" t="s">
        <v>99</v>
      </c>
      <c r="U44" s="88">
        <v>12.44</v>
      </c>
      <c r="W44" s="133">
        <v>42692</v>
      </c>
      <c r="X44" s="10">
        <v>11.87</v>
      </c>
      <c r="Y44" s="10">
        <v>11.9</v>
      </c>
      <c r="Z44" s="10">
        <v>11.73</v>
      </c>
      <c r="AA44" s="10">
        <v>11.76</v>
      </c>
      <c r="AB44" s="95">
        <v>30662000</v>
      </c>
      <c r="AC44" s="10">
        <v>11.57</v>
      </c>
      <c r="AD44" s="2">
        <f t="shared" si="0"/>
        <v>0.16999999999999993</v>
      </c>
      <c r="AE44" s="138">
        <f t="shared" si="1"/>
        <v>-9.4178082191780366E-3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13.101599999999999</v>
      </c>
      <c r="Q45" s="2"/>
      <c r="T45" s="93" t="s">
        <v>100</v>
      </c>
      <c r="U45" s="88" t="s">
        <v>129</v>
      </c>
      <c r="W45" s="133">
        <v>42691</v>
      </c>
      <c r="X45" s="10">
        <v>11.9</v>
      </c>
      <c r="Y45" s="10">
        <v>11.96</v>
      </c>
      <c r="Z45" s="10">
        <v>11.78</v>
      </c>
      <c r="AA45" s="10">
        <v>11.87</v>
      </c>
      <c r="AB45" s="95">
        <v>38502500</v>
      </c>
      <c r="AC45" s="10">
        <v>11.68</v>
      </c>
      <c r="AD45" s="2">
        <f t="shared" si="0"/>
        <v>0.18000000000000149</v>
      </c>
      <c r="AE45" s="138">
        <f t="shared" si="1"/>
        <v>-1.1007620660457351E-2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12.978</v>
      </c>
      <c r="Q46" s="2"/>
      <c r="T46" s="93" t="s">
        <v>101</v>
      </c>
      <c r="U46" s="88" t="s">
        <v>129</v>
      </c>
      <c r="W46" s="133">
        <v>42690</v>
      </c>
      <c r="X46" s="10">
        <v>12</v>
      </c>
      <c r="Y46" s="10">
        <v>12.05</v>
      </c>
      <c r="Z46" s="10">
        <v>11.92</v>
      </c>
      <c r="AA46" s="10">
        <v>12</v>
      </c>
      <c r="AB46" s="95">
        <v>25195500</v>
      </c>
      <c r="AC46" s="10">
        <v>11.81</v>
      </c>
      <c r="AD46" s="2">
        <f t="shared" si="0"/>
        <v>0.13000000000000078</v>
      </c>
      <c r="AE46" s="138">
        <f t="shared" si="1"/>
        <v>-3.3755274261603185E-3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12.8544</v>
      </c>
      <c r="Q47" s="2"/>
      <c r="T47" s="93" t="s">
        <v>102</v>
      </c>
      <c r="U47" s="88">
        <v>12.83</v>
      </c>
      <c r="W47" s="133">
        <v>42689</v>
      </c>
      <c r="X47" s="10">
        <v>12.06</v>
      </c>
      <c r="Y47" s="10">
        <v>12.14</v>
      </c>
      <c r="Z47" s="10">
        <v>11.95</v>
      </c>
      <c r="AA47" s="10">
        <v>12.04</v>
      </c>
      <c r="AB47" s="95">
        <v>31498500</v>
      </c>
      <c r="AC47" s="10">
        <v>11.85</v>
      </c>
      <c r="AD47" s="2">
        <f t="shared" si="0"/>
        <v>0.19000000000000128</v>
      </c>
      <c r="AE47" s="138">
        <f t="shared" si="1"/>
        <v>-1.6849199663016012E-3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12.7308</v>
      </c>
      <c r="Q48" s="2"/>
      <c r="T48" s="93" t="s">
        <v>103</v>
      </c>
      <c r="U48" s="88">
        <v>1.2931299999999999</v>
      </c>
      <c r="W48" s="133">
        <v>42688</v>
      </c>
      <c r="X48" s="10">
        <v>12.27</v>
      </c>
      <c r="Y48" s="10">
        <v>12.5</v>
      </c>
      <c r="Z48" s="10">
        <v>12.02</v>
      </c>
      <c r="AA48" s="10">
        <v>12.06</v>
      </c>
      <c r="AB48" s="95">
        <v>56109900</v>
      </c>
      <c r="AC48" s="10">
        <v>11.87</v>
      </c>
      <c r="AD48" s="2">
        <f t="shared" si="0"/>
        <v>0.48000000000000043</v>
      </c>
      <c r="AE48" s="138">
        <f t="shared" si="1"/>
        <v>-1.8196856906534387E-2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12.607199999999999</v>
      </c>
      <c r="Q49" s="2"/>
      <c r="T49" s="93" t="s">
        <v>104</v>
      </c>
      <c r="U49" s="88" t="s">
        <v>355</v>
      </c>
      <c r="W49" s="133">
        <v>42685</v>
      </c>
      <c r="X49" s="10">
        <v>11.88</v>
      </c>
      <c r="Y49" s="10">
        <v>12.4</v>
      </c>
      <c r="Z49" s="10">
        <v>11.84</v>
      </c>
      <c r="AA49" s="10">
        <v>12.28</v>
      </c>
      <c r="AB49" s="95">
        <v>79135100</v>
      </c>
      <c r="AC49" s="10">
        <v>12.09</v>
      </c>
      <c r="AD49" s="2">
        <f t="shared" si="0"/>
        <v>0.5600000000000005</v>
      </c>
      <c r="AE49" s="138">
        <f t="shared" si="1"/>
        <v>2.8936170212765955E-2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12.483599999999999</v>
      </c>
      <c r="Q50" s="2"/>
      <c r="T50" s="93"/>
      <c r="U50" s="88"/>
      <c r="W50" s="133">
        <v>42684</v>
      </c>
      <c r="X50" s="10">
        <v>11.58</v>
      </c>
      <c r="Y50" s="10">
        <v>11.98</v>
      </c>
      <c r="Z50" s="10">
        <v>11.58</v>
      </c>
      <c r="AA50" s="10">
        <v>11.94</v>
      </c>
      <c r="AB50" s="95">
        <v>52756500</v>
      </c>
      <c r="AC50" s="10">
        <v>11.75</v>
      </c>
      <c r="AD50" s="2">
        <f t="shared" si="0"/>
        <v>0.40000000000000036</v>
      </c>
      <c r="AE50" s="138">
        <f t="shared" si="1"/>
        <v>3.0701754385964897E-2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283</v>
      </c>
      <c r="O51" s="83">
        <v>1</v>
      </c>
      <c r="P51" s="83">
        <f t="shared" si="24"/>
        <v>12.36</v>
      </c>
      <c r="Q51" s="2"/>
      <c r="T51" s="93" t="s">
        <v>105</v>
      </c>
      <c r="U51" s="88" t="s">
        <v>508</v>
      </c>
      <c r="W51" s="133">
        <v>42683</v>
      </c>
      <c r="X51" s="10">
        <v>11.15</v>
      </c>
      <c r="Y51" s="10">
        <v>11.63</v>
      </c>
      <c r="Z51" s="10">
        <v>11.07</v>
      </c>
      <c r="AA51" s="10">
        <v>11.58</v>
      </c>
      <c r="AB51" s="95">
        <v>60625700</v>
      </c>
      <c r="AC51" s="10">
        <v>11.4</v>
      </c>
      <c r="AD51" s="2">
        <f t="shared" si="0"/>
        <v>0.5600000000000005</v>
      </c>
      <c r="AE51" s="138">
        <f t="shared" si="1"/>
        <v>8.8495575221239076E-3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12.2364</v>
      </c>
      <c r="Q52" s="2"/>
      <c r="T52" s="93" t="s">
        <v>106</v>
      </c>
      <c r="U52" s="88" t="s">
        <v>399</v>
      </c>
      <c r="W52" s="133">
        <v>42682</v>
      </c>
      <c r="X52" s="10">
        <v>11.5</v>
      </c>
      <c r="Y52" s="10">
        <v>11.51</v>
      </c>
      <c r="Z52" s="10">
        <v>11.35</v>
      </c>
      <c r="AA52" s="10">
        <v>11.48</v>
      </c>
      <c r="AB52" s="95">
        <v>28456100</v>
      </c>
      <c r="AC52" s="10">
        <v>11.3</v>
      </c>
      <c r="AD52" s="2">
        <f t="shared" si="0"/>
        <v>0.16000000000000014</v>
      </c>
      <c r="AE52" s="138">
        <f t="shared" si="1"/>
        <v>-8.7719298245613198E-3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12.1128</v>
      </c>
      <c r="Q53" s="2"/>
      <c r="T53" s="93" t="s">
        <v>107</v>
      </c>
      <c r="U53" s="90">
        <v>29269964</v>
      </c>
      <c r="W53" s="133">
        <v>42681</v>
      </c>
      <c r="X53" s="10">
        <v>11.52</v>
      </c>
      <c r="Y53" s="10">
        <v>11.62</v>
      </c>
      <c r="Z53" s="10">
        <v>11.39</v>
      </c>
      <c r="AA53" s="10">
        <v>11.58</v>
      </c>
      <c r="AB53" s="95">
        <v>25120700</v>
      </c>
      <c r="AC53" s="10">
        <v>11.4</v>
      </c>
      <c r="AD53" s="2">
        <f t="shared" si="0"/>
        <v>0.22999999999999865</v>
      </c>
      <c r="AE53" s="138">
        <f t="shared" si="1"/>
        <v>2.1505376344086002E-2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11.989199999999999</v>
      </c>
      <c r="T54" s="93" t="s">
        <v>110</v>
      </c>
      <c r="U54" s="90">
        <v>36922500</v>
      </c>
      <c r="W54" s="133">
        <v>42678</v>
      </c>
      <c r="X54" s="10">
        <v>11.31</v>
      </c>
      <c r="Y54" s="10">
        <v>11.5</v>
      </c>
      <c r="Z54" s="10">
        <v>11.3</v>
      </c>
      <c r="AA54" s="10">
        <v>11.34</v>
      </c>
      <c r="AB54" s="95">
        <v>24752400</v>
      </c>
      <c r="AC54" s="10">
        <v>11.16</v>
      </c>
      <c r="AD54" s="2">
        <f t="shared" si="0"/>
        <v>0.19999999999999929</v>
      </c>
      <c r="AE54" s="138">
        <f t="shared" si="1"/>
        <v>-8.9525514771704451E-4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11.865599999999999</v>
      </c>
      <c r="T55" s="93" t="s">
        <v>108</v>
      </c>
      <c r="U55" s="88" t="s">
        <v>509</v>
      </c>
      <c r="W55" s="133">
        <v>42677</v>
      </c>
      <c r="X55" s="10">
        <v>11.39</v>
      </c>
      <c r="Y55" s="10">
        <v>11.46</v>
      </c>
      <c r="Z55" s="10">
        <v>11.27</v>
      </c>
      <c r="AA55" s="10">
        <v>11.35</v>
      </c>
      <c r="AB55" s="95">
        <v>38651500</v>
      </c>
      <c r="AC55" s="10">
        <v>11.17</v>
      </c>
      <c r="AD55" s="2">
        <f t="shared" si="0"/>
        <v>0.19000000000000128</v>
      </c>
      <c r="AE55" s="138">
        <f t="shared" si="1"/>
        <v>-4.4563279857398053E-3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297</v>
      </c>
      <c r="O56" s="83">
        <v>0.95</v>
      </c>
      <c r="P56" s="83">
        <f t="shared" si="24"/>
        <v>11.741999999999999</v>
      </c>
      <c r="T56" s="93" t="s">
        <v>111</v>
      </c>
      <c r="U56" s="88">
        <v>6.83</v>
      </c>
      <c r="W56" s="133">
        <v>42676</v>
      </c>
      <c r="X56" s="10">
        <v>11.51</v>
      </c>
      <c r="Y56" s="10">
        <v>11.56</v>
      </c>
      <c r="Z56" s="10">
        <v>11.36</v>
      </c>
      <c r="AA56" s="10">
        <v>11.4</v>
      </c>
      <c r="AB56" s="95">
        <v>36229400</v>
      </c>
      <c r="AC56" s="10">
        <v>11.22</v>
      </c>
      <c r="AD56" s="2">
        <f t="shared" si="0"/>
        <v>0.20000000000000107</v>
      </c>
      <c r="AE56" s="138">
        <f t="shared" si="1"/>
        <v>-1.8372703412073421E-2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11.618399999999999</v>
      </c>
      <c r="T57" s="93" t="s">
        <v>112</v>
      </c>
      <c r="U57" s="88">
        <v>1.81</v>
      </c>
      <c r="W57" s="133">
        <v>42675</v>
      </c>
      <c r="X57" s="10">
        <v>11.78</v>
      </c>
      <c r="Y57" s="10">
        <v>11.84</v>
      </c>
      <c r="Z57" s="10">
        <v>11.5</v>
      </c>
      <c r="AA57" s="10">
        <v>11.61</v>
      </c>
      <c r="AB57" s="95">
        <v>35613600</v>
      </c>
      <c r="AC57" s="10">
        <v>11.43</v>
      </c>
      <c r="AD57" s="2">
        <f t="shared" si="0"/>
        <v>0.33999999999999986</v>
      </c>
      <c r="AE57" s="138">
        <f t="shared" si="1"/>
        <v>-1.0389610389610504E-2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11.4948</v>
      </c>
      <c r="T58" s="93" t="s">
        <v>109</v>
      </c>
      <c r="U58" s="88" t="s">
        <v>635</v>
      </c>
      <c r="W58" s="133">
        <v>42674</v>
      </c>
      <c r="X58" s="10">
        <v>11.75</v>
      </c>
      <c r="Y58" s="10">
        <v>11.81</v>
      </c>
      <c r="Z58" s="10">
        <v>11.69</v>
      </c>
      <c r="AA58" s="10">
        <v>11.74</v>
      </c>
      <c r="AB58" s="95">
        <v>31898400</v>
      </c>
      <c r="AC58" s="10">
        <v>11.55</v>
      </c>
      <c r="AD58" s="2">
        <f t="shared" si="0"/>
        <v>0.12000000000000099</v>
      </c>
      <c r="AE58" s="138">
        <f t="shared" si="1"/>
        <v>1.7346053772768766E-3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11.3712</v>
      </c>
      <c r="W59" s="133">
        <v>42671</v>
      </c>
      <c r="X59" s="10">
        <v>11.74</v>
      </c>
      <c r="Y59" s="10">
        <v>11.85</v>
      </c>
      <c r="Z59" s="10">
        <v>11.63</v>
      </c>
      <c r="AA59" s="10">
        <v>11.72</v>
      </c>
      <c r="AB59" s="95">
        <v>37142400</v>
      </c>
      <c r="AC59" s="10">
        <v>11.53</v>
      </c>
      <c r="AD59" s="2">
        <f t="shared" si="0"/>
        <v>0.21999999999999886</v>
      </c>
      <c r="AE59" s="138">
        <f t="shared" si="1"/>
        <v>-1.7316017316018062E-3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11.2476</v>
      </c>
      <c r="W60" s="133">
        <v>42670</v>
      </c>
      <c r="X60" s="10">
        <v>11.81</v>
      </c>
      <c r="Y60" s="10">
        <v>11.83</v>
      </c>
      <c r="Z60" s="10">
        <v>11.6</v>
      </c>
      <c r="AA60" s="10">
        <v>11.74</v>
      </c>
      <c r="AB60" s="95">
        <v>48402000</v>
      </c>
      <c r="AC60" s="10">
        <v>11.55</v>
      </c>
      <c r="AD60" s="2">
        <f t="shared" si="0"/>
        <v>0.23000000000000043</v>
      </c>
      <c r="AE60" s="138">
        <f t="shared" si="1"/>
        <v>-1.1976047904191489E-2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11.124000000000001</v>
      </c>
      <c r="W61" s="133">
        <v>42669</v>
      </c>
      <c r="X61" s="10">
        <v>11.8</v>
      </c>
      <c r="Y61" s="10">
        <v>11.93</v>
      </c>
      <c r="Z61" s="10">
        <v>11.76</v>
      </c>
      <c r="AA61" s="10">
        <v>11.88</v>
      </c>
      <c r="AB61" s="95">
        <v>36219900</v>
      </c>
      <c r="AC61" s="10">
        <v>11.69</v>
      </c>
      <c r="AD61" s="2">
        <f t="shared" si="0"/>
        <v>0.16999999999999993</v>
      </c>
      <c r="AE61" s="138">
        <f t="shared" si="1"/>
        <v>2.572898799313883E-3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42668</v>
      </c>
      <c r="X62" s="10">
        <v>12.05</v>
      </c>
      <c r="Y62" s="10">
        <v>12.1</v>
      </c>
      <c r="Z62" s="10">
        <v>11.76</v>
      </c>
      <c r="AA62" s="10">
        <v>11.85</v>
      </c>
      <c r="AB62" s="95">
        <v>42486000</v>
      </c>
      <c r="AC62" s="10">
        <v>11.66</v>
      </c>
      <c r="AD62" s="2">
        <f t="shared" si="0"/>
        <v>0.33999999999999986</v>
      </c>
      <c r="AE62" s="138" t="e">
        <f t="shared" si="1"/>
        <v>#DIV/0!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42668</v>
      </c>
      <c r="X63" s="10" t="s">
        <v>180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42667</v>
      </c>
      <c r="X64" s="10">
        <v>12.06</v>
      </c>
      <c r="Y64" s="10">
        <v>12.2</v>
      </c>
      <c r="Z64" s="10">
        <v>12.06</v>
      </c>
      <c r="AA64" s="10">
        <v>12.19</v>
      </c>
      <c r="AB64" s="95">
        <v>33733600</v>
      </c>
      <c r="AC64" s="10">
        <v>11.85</v>
      </c>
      <c r="AD64" s="2">
        <f t="shared" si="0"/>
        <v>0.13999999999999879</v>
      </c>
      <c r="AE64" s="138">
        <f t="shared" si="1"/>
        <v>1.4554794520547976E-2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42664</v>
      </c>
      <c r="X65" s="10">
        <v>11.93</v>
      </c>
      <c r="Y65" s="10">
        <v>12.04</v>
      </c>
      <c r="Z65" s="10">
        <v>11.85</v>
      </c>
      <c r="AA65" s="10">
        <v>12.02</v>
      </c>
      <c r="AB65" s="95">
        <v>24364200</v>
      </c>
      <c r="AC65" s="10">
        <v>11.68</v>
      </c>
      <c r="AD65" s="2">
        <f t="shared" si="0"/>
        <v>0.1899999999999995</v>
      </c>
      <c r="AE65" s="138">
        <f t="shared" si="1"/>
        <v>3.4364261168384758E-3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42663</v>
      </c>
      <c r="X66" s="10">
        <v>12.02</v>
      </c>
      <c r="Y66" s="10">
        <v>12.03</v>
      </c>
      <c r="Z66" s="10">
        <v>11.9</v>
      </c>
      <c r="AA66" s="10">
        <v>11.97</v>
      </c>
      <c r="AB66" s="95">
        <v>18116000</v>
      </c>
      <c r="AC66" s="10">
        <v>11.64</v>
      </c>
      <c r="AD66" s="2">
        <f t="shared" si="0"/>
        <v>0.12999999999999901</v>
      </c>
      <c r="AE66" s="138">
        <f t="shared" si="1"/>
        <v>-2.5706940874035134E-3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42662</v>
      </c>
      <c r="X67" s="10">
        <v>11.89</v>
      </c>
      <c r="Y67" s="10">
        <v>12.05</v>
      </c>
      <c r="Z67" s="10">
        <v>11.88</v>
      </c>
      <c r="AA67" s="10">
        <v>12.01</v>
      </c>
      <c r="AB67" s="95">
        <v>26094000</v>
      </c>
      <c r="AC67" s="10">
        <v>11.67</v>
      </c>
      <c r="AD67" s="2">
        <f>Y67-Z67</f>
        <v>0.16999999999999993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42661</v>
      </c>
      <c r="X68" s="10">
        <v>11.92</v>
      </c>
      <c r="Y68" s="10">
        <v>11.93</v>
      </c>
      <c r="Z68" s="10">
        <v>11.71</v>
      </c>
      <c r="AA68" s="10">
        <v>11.89</v>
      </c>
      <c r="AB68" s="95">
        <v>39911300</v>
      </c>
      <c r="AC68" s="10">
        <v>11.56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42660</v>
      </c>
      <c r="X69" s="10">
        <v>11.91</v>
      </c>
      <c r="Y69" s="10">
        <v>12</v>
      </c>
      <c r="Z69" s="10">
        <v>11.88</v>
      </c>
      <c r="AA69" s="10">
        <v>11.88</v>
      </c>
      <c r="AB69" s="95">
        <v>19875000</v>
      </c>
      <c r="AC69" s="10">
        <v>11.55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202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199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15" priority="25">
      <formula>F30&gt;0</formula>
    </cfRule>
    <cfRule type="expression" dxfId="714" priority="26">
      <formula>F30&lt;0</formula>
    </cfRule>
  </conditionalFormatting>
  <conditionalFormatting sqref="F34:F42 F46:F74">
    <cfRule type="expression" dxfId="713" priority="21">
      <formula>F34&gt;0</formula>
    </cfRule>
    <cfRule type="expression" dxfId="712" priority="22">
      <formula>F34&lt;0</formula>
    </cfRule>
  </conditionalFormatting>
  <conditionalFormatting sqref="F34:F42 F46:F74">
    <cfRule type="expression" dxfId="711" priority="23">
      <formula>F34&gt;0</formula>
    </cfRule>
    <cfRule type="expression" dxfId="710" priority="24">
      <formula>F34&lt;0</formula>
    </cfRule>
  </conditionalFormatting>
  <conditionalFormatting sqref="H30:H42 H46:H74">
    <cfRule type="expression" dxfId="709" priority="19">
      <formula>H30&gt;0</formula>
    </cfRule>
    <cfRule type="expression" dxfId="708" priority="20">
      <formula>H30&lt;0</formula>
    </cfRule>
  </conditionalFormatting>
  <conditionalFormatting sqref="F25:F29">
    <cfRule type="expression" dxfId="707" priority="13">
      <formula>F25&gt;0</formula>
    </cfRule>
    <cfRule type="expression" dxfId="706" priority="14">
      <formula>F25&lt;0</formula>
    </cfRule>
  </conditionalFormatting>
  <conditionalFormatting sqref="H25:H29">
    <cfRule type="expression" dxfId="705" priority="11">
      <formula>H25&gt;0</formula>
    </cfRule>
    <cfRule type="expression" dxfId="704" priority="12">
      <formula>H25&lt;0</formula>
    </cfRule>
  </conditionalFormatting>
  <conditionalFormatting sqref="Q7">
    <cfRule type="expression" dxfId="703" priority="9">
      <formula>Q7&gt;0</formula>
    </cfRule>
    <cfRule type="expression" dxfId="702" priority="10">
      <formula>Q7&lt;0</formula>
    </cfRule>
  </conditionalFormatting>
  <conditionalFormatting sqref="Q8">
    <cfRule type="expression" dxfId="701" priority="7">
      <formula>Q8&gt;0</formula>
    </cfRule>
    <cfRule type="expression" dxfId="700" priority="8">
      <formula>Q8&lt;0</formula>
    </cfRule>
  </conditionalFormatting>
  <conditionalFormatting sqref="F43:F45">
    <cfRule type="expression" dxfId="699" priority="3">
      <formula>F43&gt;0</formula>
    </cfRule>
    <cfRule type="expression" dxfId="698" priority="4">
      <formula>F43&lt;0</formula>
    </cfRule>
  </conditionalFormatting>
  <conditionalFormatting sqref="F43:F45">
    <cfRule type="expression" dxfId="697" priority="5">
      <formula>F43&gt;0</formula>
    </cfRule>
    <cfRule type="expression" dxfId="696" priority="6">
      <formula>F43&lt;0</formula>
    </cfRule>
  </conditionalFormatting>
  <conditionalFormatting sqref="H43:H45">
    <cfRule type="expression" dxfId="695" priority="1">
      <formula>H43&gt;0</formula>
    </cfRule>
    <cfRule type="expression" dxfId="69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290</v>
      </c>
      <c r="B2" s="50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0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253</v>
      </c>
      <c r="W2" s="133">
        <v>42755</v>
      </c>
      <c r="X2" s="10">
        <v>114.49</v>
      </c>
      <c r="Y2" s="10">
        <v>115.03</v>
      </c>
      <c r="Z2" s="10">
        <v>114.08</v>
      </c>
      <c r="AA2" s="10">
        <v>114.15</v>
      </c>
      <c r="AB2" s="95">
        <v>7260100</v>
      </c>
      <c r="AC2" s="10">
        <v>114.15</v>
      </c>
      <c r="AD2" s="2">
        <f>Y2-Z2</f>
        <v>0.95000000000000284</v>
      </c>
      <c r="AE2" s="138">
        <f>AC2/AC3-1</f>
        <v>-4.378283712784814E-4</v>
      </c>
    </row>
    <row r="3" spans="1:31" x14ac:dyDescent="0.25">
      <c r="A3" s="23" t="s">
        <v>71</v>
      </c>
      <c r="B3" s="509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254</v>
      </c>
      <c r="W3" s="133">
        <v>42754</v>
      </c>
      <c r="X3" s="10">
        <v>114.68</v>
      </c>
      <c r="Y3" s="10">
        <v>114.9</v>
      </c>
      <c r="Z3" s="10">
        <v>113.92</v>
      </c>
      <c r="AA3" s="10">
        <v>114.2</v>
      </c>
      <c r="AB3" s="95">
        <v>5506900</v>
      </c>
      <c r="AC3" s="10">
        <v>114.2</v>
      </c>
      <c r="AD3" s="2">
        <f t="shared" ref="AD3:AD66" si="0">Y3-Z3</f>
        <v>0.98000000000000398</v>
      </c>
      <c r="AE3" s="138">
        <f t="shared" ref="AE3:AE66" si="1">AC3/AC4-1</f>
        <v>-4.3591979075849885E-3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114.15</v>
      </c>
      <c r="R4" s="505">
        <v>-4.0000000000000002E-4</v>
      </c>
      <c r="T4" s="163"/>
      <c r="U4" s="1"/>
      <c r="W4" s="133">
        <v>42753</v>
      </c>
      <c r="X4" s="10">
        <v>114.87</v>
      </c>
      <c r="Y4" s="10">
        <v>115.1</v>
      </c>
      <c r="Z4" s="10">
        <v>114.41</v>
      </c>
      <c r="AA4" s="10">
        <v>114.7</v>
      </c>
      <c r="AB4" s="95">
        <v>4998700</v>
      </c>
      <c r="AC4" s="10">
        <v>114.7</v>
      </c>
      <c r="AD4" s="2">
        <f t="shared" si="0"/>
        <v>0.68999999999999773</v>
      </c>
      <c r="AE4" s="138">
        <f t="shared" si="1"/>
        <v>-1.4799338382519567E-3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3424.5</v>
      </c>
      <c r="W5" s="133">
        <v>42752</v>
      </c>
      <c r="X5" s="10">
        <v>113.94</v>
      </c>
      <c r="Y5" s="10">
        <v>115.05</v>
      </c>
      <c r="Z5" s="10">
        <v>113.67</v>
      </c>
      <c r="AA5" s="10">
        <v>114.87</v>
      </c>
      <c r="AB5" s="95">
        <v>6244000</v>
      </c>
      <c r="AC5" s="10">
        <v>114.87</v>
      </c>
      <c r="AD5" s="2">
        <f t="shared" si="0"/>
        <v>1.3799999999999955</v>
      </c>
      <c r="AE5" s="138">
        <f t="shared" si="1"/>
        <v>2.3560209424084988E-3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42748</v>
      </c>
      <c r="X6" s="10">
        <v>114.94</v>
      </c>
      <c r="Y6" s="10">
        <v>115.02</v>
      </c>
      <c r="Z6" s="10">
        <v>114.44</v>
      </c>
      <c r="AA6" s="10">
        <v>114.6</v>
      </c>
      <c r="AB6" s="95">
        <v>4726200</v>
      </c>
      <c r="AC6" s="10">
        <v>114.6</v>
      </c>
      <c r="AD6" s="2">
        <f t="shared" si="0"/>
        <v>0.57999999999999829</v>
      </c>
      <c r="AE6" s="138">
        <f t="shared" si="1"/>
        <v>-1.7448961786781236E-4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-44.300000000000182</v>
      </c>
      <c r="R7">
        <v>30</v>
      </c>
      <c r="W7" s="133">
        <v>42747</v>
      </c>
      <c r="X7" s="10">
        <v>114.27</v>
      </c>
      <c r="Y7" s="10">
        <v>114.73</v>
      </c>
      <c r="Z7" s="10">
        <v>113.37</v>
      </c>
      <c r="AA7" s="10">
        <v>114.62</v>
      </c>
      <c r="AB7" s="95">
        <v>6621400</v>
      </c>
      <c r="AC7" s="10">
        <v>114.62</v>
      </c>
      <c r="AD7" s="2">
        <f t="shared" si="0"/>
        <v>1.3599999999999994</v>
      </c>
      <c r="AE7" s="138">
        <f t="shared" si="1"/>
        <v>-9.5877277085332224E-4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-44.300000000000182</v>
      </c>
      <c r="W8" s="133">
        <v>42746</v>
      </c>
      <c r="X8" s="10">
        <v>116.08</v>
      </c>
      <c r="Y8" s="10">
        <v>116.25</v>
      </c>
      <c r="Z8" s="10">
        <v>114.02</v>
      </c>
      <c r="AA8" s="10">
        <v>114.73</v>
      </c>
      <c r="AB8" s="95">
        <v>8778300</v>
      </c>
      <c r="AC8" s="10">
        <v>114.73</v>
      </c>
      <c r="AD8" s="2">
        <f t="shared" si="0"/>
        <v>2.230000000000004</v>
      </c>
      <c r="AE8" s="138">
        <f t="shared" si="1"/>
        <v>-1.2310606060605966E-2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-1.2770987084870901E-2</v>
      </c>
      <c r="W9" s="133">
        <v>42745</v>
      </c>
      <c r="X9" s="10">
        <v>116.03</v>
      </c>
      <c r="Y9" s="10">
        <v>117</v>
      </c>
      <c r="Z9" s="10">
        <v>115.87</v>
      </c>
      <c r="AA9" s="10">
        <v>116.16</v>
      </c>
      <c r="AB9" s="95">
        <v>5271400</v>
      </c>
      <c r="AC9" s="10">
        <v>116.16</v>
      </c>
      <c r="AD9" s="2">
        <f t="shared" si="0"/>
        <v>1.1299999999999955</v>
      </c>
      <c r="AE9" s="138">
        <f t="shared" si="1"/>
        <v>-1.0319917440660964E-3</v>
      </c>
    </row>
    <row r="10" spans="1:31" x14ac:dyDescent="0.25">
      <c r="G10" s="30"/>
      <c r="H10" s="72"/>
      <c r="O10" s="11" t="s">
        <v>214</v>
      </c>
      <c r="P10" s="34"/>
      <c r="Q10" s="2">
        <v>0</v>
      </c>
      <c r="W10" s="133">
        <v>42744</v>
      </c>
      <c r="X10" s="10">
        <v>116.35</v>
      </c>
      <c r="Y10" s="10">
        <v>116.61</v>
      </c>
      <c r="Z10" s="10">
        <v>115.89</v>
      </c>
      <c r="AA10" s="10">
        <v>116.28</v>
      </c>
      <c r="AB10" s="95">
        <v>5436600</v>
      </c>
      <c r="AC10" s="10">
        <v>116.28</v>
      </c>
      <c r="AD10" s="2">
        <f t="shared" si="0"/>
        <v>0.71999999999999886</v>
      </c>
      <c r="AE10" s="138">
        <f t="shared" si="1"/>
        <v>-1.7196904557181814E-4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2.8000000000000001E-2</v>
      </c>
      <c r="W11" s="133">
        <v>42741</v>
      </c>
      <c r="X11" s="10">
        <v>116.67</v>
      </c>
      <c r="Y11" s="10">
        <v>117</v>
      </c>
      <c r="Z11" s="10">
        <v>115.76</v>
      </c>
      <c r="AA11" s="10">
        <v>116.3</v>
      </c>
      <c r="AB11" s="95">
        <v>4830400</v>
      </c>
      <c r="AC11" s="10">
        <v>116.3</v>
      </c>
      <c r="AD11" s="2">
        <f t="shared" si="0"/>
        <v>1.2399999999999949</v>
      </c>
      <c r="AE11" s="138">
        <f t="shared" si="1"/>
        <v>-4.792058873866134E-3</v>
      </c>
    </row>
    <row r="12" spans="1:31" x14ac:dyDescent="0.25">
      <c r="G12" s="30"/>
      <c r="H12" s="72"/>
      <c r="W12" s="133">
        <v>42740</v>
      </c>
      <c r="X12" s="10">
        <v>116</v>
      </c>
      <c r="Y12" s="10">
        <v>116.97</v>
      </c>
      <c r="Z12" s="10">
        <v>115.44</v>
      </c>
      <c r="AA12" s="10">
        <v>116.86</v>
      </c>
      <c r="AB12" s="95">
        <v>5735900</v>
      </c>
      <c r="AC12" s="10">
        <v>116.86</v>
      </c>
      <c r="AD12" s="2">
        <f t="shared" si="0"/>
        <v>1.5300000000000011</v>
      </c>
      <c r="AE12" s="138">
        <f t="shared" si="1"/>
        <v>1.0462602680501476E-2</v>
      </c>
    </row>
    <row r="13" spans="1:31" x14ac:dyDescent="0.25">
      <c r="G13" s="30"/>
      <c r="H13" s="72"/>
      <c r="W13" s="133">
        <v>42739</v>
      </c>
      <c r="X13" s="10">
        <v>115.5</v>
      </c>
      <c r="Y13" s="10">
        <v>116.23</v>
      </c>
      <c r="Z13" s="10">
        <v>115.31</v>
      </c>
      <c r="AA13" s="10">
        <v>115.65</v>
      </c>
      <c r="AB13" s="95">
        <v>5793000</v>
      </c>
      <c r="AC13" s="10">
        <v>115.65</v>
      </c>
      <c r="AD13" s="2">
        <f t="shared" si="0"/>
        <v>0.92000000000000171</v>
      </c>
      <c r="AE13" s="138">
        <f t="shared" si="1"/>
        <v>-1.6401933701657434E-3</v>
      </c>
    </row>
    <row r="14" spans="1:31" x14ac:dyDescent="0.25">
      <c r="G14" s="30"/>
      <c r="H14" s="72"/>
      <c r="W14" s="133">
        <v>42738</v>
      </c>
      <c r="X14" s="10">
        <v>115.78</v>
      </c>
      <c r="Y14" s="10">
        <v>116</v>
      </c>
      <c r="Z14" s="10">
        <v>115.23</v>
      </c>
      <c r="AA14" s="10">
        <v>115.84</v>
      </c>
      <c r="AB14" s="95">
        <v>5944700</v>
      </c>
      <c r="AC14" s="10">
        <v>115.84</v>
      </c>
      <c r="AD14" s="2">
        <f t="shared" si="0"/>
        <v>0.76999999999999602</v>
      </c>
      <c r="AE14" s="138">
        <f t="shared" si="1"/>
        <v>5.4682753233226133E-3</v>
      </c>
    </row>
    <row r="15" spans="1:31" x14ac:dyDescent="0.25">
      <c r="G15" s="30"/>
      <c r="H15" s="72"/>
      <c r="W15" s="133">
        <v>42734</v>
      </c>
      <c r="X15" s="10">
        <v>115.8</v>
      </c>
      <c r="Y15" s="10">
        <v>115.99</v>
      </c>
      <c r="Z15" s="10">
        <v>114.98</v>
      </c>
      <c r="AA15" s="10">
        <v>115.21</v>
      </c>
      <c r="AB15" s="95">
        <v>5497200</v>
      </c>
      <c r="AC15" s="10">
        <v>115.21</v>
      </c>
      <c r="AD15" s="2">
        <f t="shared" si="0"/>
        <v>1.0099999999999909</v>
      </c>
      <c r="AE15" s="138">
        <f t="shared" si="1"/>
        <v>-2.4244523335353874E-3</v>
      </c>
    </row>
    <row r="16" spans="1:31" x14ac:dyDescent="0.25">
      <c r="G16" s="30"/>
      <c r="H16" s="72"/>
      <c r="W16" s="133">
        <v>42733</v>
      </c>
      <c r="X16" s="10">
        <v>115.23</v>
      </c>
      <c r="Y16" s="10">
        <v>115.87</v>
      </c>
      <c r="Z16" s="10">
        <v>115.01</v>
      </c>
      <c r="AA16" s="10">
        <v>115.49</v>
      </c>
      <c r="AB16" s="95">
        <v>2977500</v>
      </c>
      <c r="AC16" s="10">
        <v>115.49</v>
      </c>
      <c r="AD16" s="2">
        <f t="shared" si="0"/>
        <v>0.85999999999999943</v>
      </c>
      <c r="AE16" s="138">
        <f t="shared" si="1"/>
        <v>3.388357949609011E-3</v>
      </c>
    </row>
    <row r="17" spans="1:31" x14ac:dyDescent="0.25">
      <c r="G17" s="30"/>
      <c r="W17" s="133">
        <v>42732</v>
      </c>
      <c r="X17" s="10">
        <v>115.88</v>
      </c>
      <c r="Y17" s="10">
        <v>116.16</v>
      </c>
      <c r="Z17" s="10">
        <v>115.05</v>
      </c>
      <c r="AA17" s="10">
        <v>115.1</v>
      </c>
      <c r="AB17" s="95">
        <v>3170800</v>
      </c>
      <c r="AC17" s="10">
        <v>115.1</v>
      </c>
      <c r="AD17" s="2">
        <f t="shared" si="0"/>
        <v>1.1099999999999994</v>
      </c>
      <c r="AE17" s="138">
        <f t="shared" si="1"/>
        <v>-6.9881804848589413E-3</v>
      </c>
    </row>
    <row r="18" spans="1:31" x14ac:dyDescent="0.25">
      <c r="A18" s="32" t="s">
        <v>81</v>
      </c>
      <c r="B18" s="51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42731</v>
      </c>
      <c r="X18" s="10">
        <v>115.89</v>
      </c>
      <c r="Y18" s="10">
        <v>116</v>
      </c>
      <c r="Z18" s="10">
        <v>115.38</v>
      </c>
      <c r="AA18" s="10">
        <v>115.91</v>
      </c>
      <c r="AB18" s="95">
        <v>3232600</v>
      </c>
      <c r="AC18" s="10">
        <v>115.91</v>
      </c>
      <c r="AD18" s="2">
        <f t="shared" si="0"/>
        <v>0.62000000000000455</v>
      </c>
      <c r="AE18" s="138">
        <f t="shared" si="1"/>
        <v>-4.3118316660917255E-4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115.4</v>
      </c>
      <c r="Y19" s="10">
        <v>116.32</v>
      </c>
      <c r="Z19" s="10">
        <v>115.3</v>
      </c>
      <c r="AA19" s="10">
        <v>115.96</v>
      </c>
      <c r="AB19" s="95">
        <v>2992500</v>
      </c>
      <c r="AC19" s="10">
        <v>115.96</v>
      </c>
      <c r="AD19" s="2">
        <f t="shared" si="0"/>
        <v>1.019999999999996</v>
      </c>
      <c r="AE19" s="138">
        <f t="shared" si="1"/>
        <v>4.5045045045044585E-3</v>
      </c>
    </row>
    <row r="20" spans="1:31" x14ac:dyDescent="0.25">
      <c r="W20" s="133">
        <v>42726</v>
      </c>
      <c r="X20" s="10">
        <v>115</v>
      </c>
      <c r="Y20" s="10">
        <v>115.53</v>
      </c>
      <c r="Z20" s="10">
        <v>113.88</v>
      </c>
      <c r="AA20" s="10">
        <v>115.44</v>
      </c>
      <c r="AB20" s="95">
        <v>4600700</v>
      </c>
      <c r="AC20" s="10">
        <v>115.44</v>
      </c>
      <c r="AD20" s="2">
        <f t="shared" si="0"/>
        <v>1.6500000000000057</v>
      </c>
      <c r="AE20" s="138">
        <f t="shared" si="1"/>
        <v>1.1273957158961512E-3</v>
      </c>
    </row>
    <row r="21" spans="1:31" x14ac:dyDescent="0.25">
      <c r="W21" s="133">
        <v>42725</v>
      </c>
      <c r="X21" s="10">
        <v>116.2</v>
      </c>
      <c r="Y21" s="10">
        <v>116.2</v>
      </c>
      <c r="Z21" s="10">
        <v>114.74</v>
      </c>
      <c r="AA21" s="10">
        <v>115.31</v>
      </c>
      <c r="AB21" s="95">
        <v>5907600</v>
      </c>
      <c r="AC21" s="10">
        <v>115.31</v>
      </c>
      <c r="AD21" s="2">
        <f t="shared" si="0"/>
        <v>1.460000000000008</v>
      </c>
      <c r="AE21" s="138">
        <f t="shared" si="1"/>
        <v>-3.0261110150440196E-3</v>
      </c>
    </row>
    <row r="22" spans="1:31" x14ac:dyDescent="0.25">
      <c r="W22" s="133">
        <v>42724</v>
      </c>
      <c r="X22" s="10">
        <v>115.98</v>
      </c>
      <c r="Y22" s="10">
        <v>116.25</v>
      </c>
      <c r="Z22" s="10">
        <v>114.91</v>
      </c>
      <c r="AA22" s="10">
        <v>115.66</v>
      </c>
      <c r="AB22" s="95">
        <v>5493900</v>
      </c>
      <c r="AC22" s="10">
        <v>115.66</v>
      </c>
      <c r="AD22" s="2">
        <f t="shared" si="0"/>
        <v>1.3400000000000034</v>
      </c>
      <c r="AE22" s="138">
        <f t="shared" si="1"/>
        <v>-3.102913290811915E-3</v>
      </c>
    </row>
    <row r="23" spans="1:31" x14ac:dyDescent="0.25">
      <c r="W23" s="133">
        <v>42723</v>
      </c>
      <c r="X23" s="10">
        <v>116.07</v>
      </c>
      <c r="Y23" s="10">
        <v>116.66</v>
      </c>
      <c r="Z23" s="10">
        <v>115.94</v>
      </c>
      <c r="AA23" s="10">
        <v>116.02</v>
      </c>
      <c r="AB23" s="95">
        <v>5858600</v>
      </c>
      <c r="AC23" s="10">
        <v>116.02</v>
      </c>
      <c r="AD23" s="2">
        <f t="shared" si="0"/>
        <v>0.71999999999999886</v>
      </c>
      <c r="AE23" s="138">
        <f t="shared" si="1"/>
        <v>1.2081463583017982E-3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116.41</v>
      </c>
      <c r="Y24" s="10">
        <v>116.46</v>
      </c>
      <c r="Z24" s="10">
        <v>115.46</v>
      </c>
      <c r="AA24" s="10">
        <v>115.88</v>
      </c>
      <c r="AB24" s="95">
        <v>10615500</v>
      </c>
      <c r="AC24" s="10">
        <v>115.88</v>
      </c>
      <c r="AD24" s="2">
        <f t="shared" si="0"/>
        <v>1</v>
      </c>
      <c r="AE24" s="138">
        <f t="shared" si="1"/>
        <v>-8.6288722064065126E-5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42719</v>
      </c>
      <c r="X25" s="10">
        <v>115.33</v>
      </c>
      <c r="Y25" s="10">
        <v>115.92</v>
      </c>
      <c r="Z25" s="10">
        <v>114.89</v>
      </c>
      <c r="AA25" s="10">
        <v>115.89</v>
      </c>
      <c r="AB25" s="95">
        <v>6735500</v>
      </c>
      <c r="AC25" s="10">
        <v>115.89</v>
      </c>
      <c r="AD25" s="2">
        <f t="shared" si="0"/>
        <v>1.0300000000000011</v>
      </c>
      <c r="AE25" s="138">
        <f t="shared" si="1"/>
        <v>7.8267675450038876E-3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42718</v>
      </c>
      <c r="X26" s="10">
        <v>116.12</v>
      </c>
      <c r="Y26" s="10">
        <v>117.3</v>
      </c>
      <c r="Z26" s="10">
        <v>114.58</v>
      </c>
      <c r="AA26" s="10">
        <v>114.99</v>
      </c>
      <c r="AB26" s="95">
        <v>9121900</v>
      </c>
      <c r="AC26" s="10">
        <v>114.99</v>
      </c>
      <c r="AD26" s="2">
        <f t="shared" si="0"/>
        <v>2.7199999999999989</v>
      </c>
      <c r="AE26" s="138">
        <f t="shared" si="1"/>
        <v>-7.7659849857624197E-3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42717</v>
      </c>
      <c r="X27" s="10">
        <v>115.53</v>
      </c>
      <c r="Y27" s="10">
        <v>115.97</v>
      </c>
      <c r="Z27" s="10">
        <v>115.01</v>
      </c>
      <c r="AA27" s="10">
        <v>115.89</v>
      </c>
      <c r="AB27" s="95">
        <v>6589000</v>
      </c>
      <c r="AC27" s="10">
        <v>115.89</v>
      </c>
      <c r="AD27" s="2">
        <f t="shared" si="0"/>
        <v>0.95999999999999375</v>
      </c>
      <c r="AE27" s="138">
        <f t="shared" si="1"/>
        <v>4.5943134535366692E-3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42716</v>
      </c>
      <c r="X28" s="10">
        <v>112.69</v>
      </c>
      <c r="Y28" s="10">
        <v>115.4</v>
      </c>
      <c r="Z28" s="10">
        <v>112.58</v>
      </c>
      <c r="AA28" s="10">
        <v>115.36</v>
      </c>
      <c r="AB28" s="95">
        <v>9518600</v>
      </c>
      <c r="AC28" s="10">
        <v>115.36</v>
      </c>
      <c r="AD28" s="2">
        <f t="shared" si="0"/>
        <v>2.8200000000000074</v>
      </c>
      <c r="AE28" s="138">
        <f t="shared" si="1"/>
        <v>2.761446641724552E-2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42713</v>
      </c>
      <c r="X29" s="10">
        <v>111.41</v>
      </c>
      <c r="Y29" s="10">
        <v>112.43</v>
      </c>
      <c r="Z29" s="10">
        <v>111.2</v>
      </c>
      <c r="AA29" s="10">
        <v>112.26</v>
      </c>
      <c r="AB29" s="95">
        <v>7659400</v>
      </c>
      <c r="AC29" s="10">
        <v>112.26</v>
      </c>
      <c r="AD29" s="2">
        <f t="shared" si="0"/>
        <v>1.230000000000004</v>
      </c>
      <c r="AE29" s="138">
        <f t="shared" si="1"/>
        <v>1.1442472294801442E-2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42712</v>
      </c>
      <c r="X30" s="10">
        <v>110.54</v>
      </c>
      <c r="Y30" s="10">
        <v>111.2</v>
      </c>
      <c r="Z30" s="10">
        <v>109.93</v>
      </c>
      <c r="AA30" s="10">
        <v>110.99</v>
      </c>
      <c r="AB30" s="95">
        <v>7766900</v>
      </c>
      <c r="AC30" s="10">
        <v>110.99</v>
      </c>
      <c r="AD30" s="2">
        <f t="shared" si="0"/>
        <v>1.269999999999996</v>
      </c>
      <c r="AE30" s="138">
        <f t="shared" si="1"/>
        <v>-9.9009900990099098E-4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42711</v>
      </c>
      <c r="X31" s="10">
        <v>111.89</v>
      </c>
      <c r="Y31" s="10">
        <v>111.89</v>
      </c>
      <c r="Z31" s="10">
        <v>109.32</v>
      </c>
      <c r="AA31" s="10">
        <v>111.1</v>
      </c>
      <c r="AB31" s="95">
        <v>11656300</v>
      </c>
      <c r="AC31" s="10">
        <v>111.1</v>
      </c>
      <c r="AD31" s="2">
        <f t="shared" si="0"/>
        <v>2.5700000000000074</v>
      </c>
      <c r="AE31" s="138">
        <f t="shared" si="1"/>
        <v>-8.5668391932893773E-3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42710</v>
      </c>
      <c r="X32" s="10">
        <v>112.24</v>
      </c>
      <c r="Y32" s="10">
        <v>113.2</v>
      </c>
      <c r="Z32" s="10">
        <v>111.85</v>
      </c>
      <c r="AA32" s="10">
        <v>112.06</v>
      </c>
      <c r="AB32" s="95">
        <v>6430100</v>
      </c>
      <c r="AC32" s="10">
        <v>112.06</v>
      </c>
      <c r="AD32" s="2">
        <f t="shared" si="0"/>
        <v>1.3500000000000085</v>
      </c>
      <c r="AE32" s="138">
        <f t="shared" si="1"/>
        <v>1.0720028586743702E-3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42709</v>
      </c>
      <c r="X33" s="10">
        <v>112.4</v>
      </c>
      <c r="Y33" s="10">
        <v>112.42</v>
      </c>
      <c r="Z33" s="10">
        <v>111.73</v>
      </c>
      <c r="AA33" s="10">
        <v>111.94</v>
      </c>
      <c r="AB33" s="95">
        <v>5427300</v>
      </c>
      <c r="AC33" s="10">
        <v>111.94</v>
      </c>
      <c r="AD33" s="2">
        <f t="shared" si="0"/>
        <v>0.68999999999999773</v>
      </c>
      <c r="AE33" s="138">
        <f t="shared" si="1"/>
        <v>-1.7863522686667466E-4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111.72</v>
      </c>
      <c r="Y34" s="10">
        <v>112.53</v>
      </c>
      <c r="Z34" s="10">
        <v>111.44</v>
      </c>
      <c r="AA34" s="10">
        <v>111.96</v>
      </c>
      <c r="AB34" s="95">
        <v>6159700</v>
      </c>
      <c r="AC34" s="10">
        <v>111.96</v>
      </c>
      <c r="AD34" s="2">
        <f t="shared" si="0"/>
        <v>1.0900000000000034</v>
      </c>
      <c r="AE34" s="138">
        <f t="shared" si="1"/>
        <v>5.2073980966063083E-3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111.36</v>
      </c>
      <c r="Y35" s="10">
        <v>111.54</v>
      </c>
      <c r="Z35" s="10">
        <v>111</v>
      </c>
      <c r="AA35" s="10">
        <v>111.38</v>
      </c>
      <c r="AB35" s="95">
        <v>8105700</v>
      </c>
      <c r="AC35" s="10">
        <v>111.38</v>
      </c>
      <c r="AD35" s="2">
        <f t="shared" si="0"/>
        <v>0.54000000000000625</v>
      </c>
      <c r="AE35" s="138">
        <f t="shared" si="1"/>
        <v>7.1877807726861143E-4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112.19</v>
      </c>
      <c r="Y36" s="10">
        <v>112.52</v>
      </c>
      <c r="Z36" s="10">
        <v>111.3</v>
      </c>
      <c r="AA36" s="10">
        <v>111.3</v>
      </c>
      <c r="AB36" s="95">
        <v>11014500</v>
      </c>
      <c r="AC36" s="10">
        <v>111.3</v>
      </c>
      <c r="AD36" s="2">
        <f t="shared" si="0"/>
        <v>1.2199999999999989</v>
      </c>
      <c r="AE36" s="138">
        <f t="shared" si="1"/>
        <v>-1.049075391180665E-2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112.95</v>
      </c>
      <c r="Y37" s="10">
        <v>113.41</v>
      </c>
      <c r="Z37" s="10">
        <v>112.17</v>
      </c>
      <c r="AA37" s="10">
        <v>112.48</v>
      </c>
      <c r="AB37" s="95">
        <v>7751800</v>
      </c>
      <c r="AC37" s="10">
        <v>112.48</v>
      </c>
      <c r="AD37" s="2">
        <f t="shared" si="0"/>
        <v>1.2399999999999949</v>
      </c>
      <c r="AE37" s="138">
        <f t="shared" si="1"/>
        <v>-5.7456024043135434E-3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113.79</v>
      </c>
      <c r="Y38" s="10">
        <v>114.12</v>
      </c>
      <c r="Z38" s="10">
        <v>113.05</v>
      </c>
      <c r="AA38" s="10">
        <v>113.13</v>
      </c>
      <c r="AB38" s="95">
        <v>9025700</v>
      </c>
      <c r="AC38" s="10">
        <v>113.13</v>
      </c>
      <c r="AD38" s="2">
        <f t="shared" si="0"/>
        <v>1.0700000000000074</v>
      </c>
      <c r="AE38" s="138">
        <f t="shared" si="1"/>
        <v>-8.7619381407166852E-3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113.6</v>
      </c>
      <c r="Y39" s="10">
        <v>114.23</v>
      </c>
      <c r="Z39" s="10">
        <v>113.38</v>
      </c>
      <c r="AA39" s="10">
        <v>114.13</v>
      </c>
      <c r="AB39" s="95">
        <v>3433300</v>
      </c>
      <c r="AC39" s="10">
        <v>114.13</v>
      </c>
      <c r="AD39" s="2">
        <f t="shared" si="0"/>
        <v>0.85000000000000853</v>
      </c>
      <c r="AE39" s="138">
        <f t="shared" si="1"/>
        <v>9.3747236225347752E-3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112.25</v>
      </c>
      <c r="Y40" s="10">
        <v>113.43</v>
      </c>
      <c r="Z40" s="10">
        <v>111.56</v>
      </c>
      <c r="AA40" s="10">
        <v>113.07</v>
      </c>
      <c r="AB40" s="95">
        <v>7892600</v>
      </c>
      <c r="AC40" s="10">
        <v>113.07</v>
      </c>
      <c r="AD40" s="2">
        <f t="shared" si="0"/>
        <v>1.8700000000000045</v>
      </c>
      <c r="AE40" s="138">
        <f t="shared" si="1"/>
        <v>2.9270888770622783E-3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125.56500000000001</v>
      </c>
      <c r="Q41" s="2"/>
      <c r="W41" s="133">
        <v>42696</v>
      </c>
      <c r="X41" s="10">
        <v>114.59</v>
      </c>
      <c r="Y41" s="10">
        <v>115</v>
      </c>
      <c r="Z41" s="10">
        <v>112.27</v>
      </c>
      <c r="AA41" s="10">
        <v>112.74</v>
      </c>
      <c r="AB41" s="95">
        <v>11649700</v>
      </c>
      <c r="AC41" s="10">
        <v>112.74</v>
      </c>
      <c r="AD41" s="2">
        <f t="shared" si="0"/>
        <v>2.730000000000004</v>
      </c>
      <c r="AE41" s="138">
        <f t="shared" si="1"/>
        <v>-1.9652173913043525E-2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124.42350000000002</v>
      </c>
      <c r="Q42" s="2"/>
      <c r="T42" s="91" t="s">
        <v>113</v>
      </c>
      <c r="W42" s="133">
        <v>42695</v>
      </c>
      <c r="X42" s="10">
        <v>115.44</v>
      </c>
      <c r="Y42" s="10">
        <v>115.68</v>
      </c>
      <c r="Z42" s="10">
        <v>114.8</v>
      </c>
      <c r="AA42" s="10">
        <v>115</v>
      </c>
      <c r="AB42" s="95">
        <v>5843300</v>
      </c>
      <c r="AC42" s="10">
        <v>115</v>
      </c>
      <c r="AD42" s="2">
        <f t="shared" si="0"/>
        <v>0.88000000000000966</v>
      </c>
      <c r="AE42" s="138">
        <f t="shared" si="1"/>
        <v>-3.1206657420249639E-3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123.28200000000001</v>
      </c>
      <c r="Q43" s="2"/>
      <c r="T43" s="128" t="s">
        <v>98</v>
      </c>
      <c r="U43" s="129">
        <v>114.2</v>
      </c>
      <c r="W43" s="133">
        <v>42692</v>
      </c>
      <c r="X43" s="10">
        <v>115.79</v>
      </c>
      <c r="Y43" s="10">
        <v>115.92</v>
      </c>
      <c r="Z43" s="10">
        <v>114.81</v>
      </c>
      <c r="AA43" s="10">
        <v>115.36</v>
      </c>
      <c r="AB43" s="95">
        <v>7717800</v>
      </c>
      <c r="AC43" s="10">
        <v>115.36</v>
      </c>
      <c r="AD43" s="2">
        <f t="shared" si="0"/>
        <v>1.1099999999999994</v>
      </c>
      <c r="AE43" s="138" t="e">
        <f t="shared" si="1"/>
        <v>#DIV/0!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122.14050000000002</v>
      </c>
      <c r="Q44" s="2"/>
      <c r="T44" s="93" t="s">
        <v>99</v>
      </c>
      <c r="U44" s="130">
        <v>114.49</v>
      </c>
      <c r="W44" s="133">
        <v>42692</v>
      </c>
      <c r="X44" s="10" t="s">
        <v>291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120.99900000000001</v>
      </c>
      <c r="Q45" s="2"/>
      <c r="T45" s="93" t="s">
        <v>100</v>
      </c>
      <c r="U45" s="130" t="s">
        <v>129</v>
      </c>
      <c r="W45" s="133">
        <v>42691</v>
      </c>
      <c r="X45" s="10">
        <v>116.68</v>
      </c>
      <c r="Y45" s="10">
        <v>116.68</v>
      </c>
      <c r="Z45" s="10">
        <v>116.12</v>
      </c>
      <c r="AA45" s="10">
        <v>116.57</v>
      </c>
      <c r="AB45" s="95">
        <v>5730300</v>
      </c>
      <c r="AC45" s="10">
        <v>115.77</v>
      </c>
      <c r="AD45" s="2">
        <f t="shared" si="0"/>
        <v>0.56000000000000227</v>
      </c>
      <c r="AE45" s="138">
        <f t="shared" si="1"/>
        <v>1.8172377985461452E-3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119.85750000000002</v>
      </c>
      <c r="Q46" s="2"/>
      <c r="T46" s="93" t="s">
        <v>101</v>
      </c>
      <c r="U46" s="130" t="s">
        <v>129</v>
      </c>
      <c r="W46" s="133">
        <v>42690</v>
      </c>
      <c r="X46" s="10">
        <v>116.65</v>
      </c>
      <c r="Y46" s="10">
        <v>116.78</v>
      </c>
      <c r="Z46" s="10">
        <v>116.08</v>
      </c>
      <c r="AA46" s="10">
        <v>116.36</v>
      </c>
      <c r="AB46" s="95">
        <v>6594800</v>
      </c>
      <c r="AC46" s="10">
        <v>115.56</v>
      </c>
      <c r="AD46" s="2">
        <f t="shared" si="0"/>
        <v>0.70000000000000284</v>
      </c>
      <c r="AE46" s="138">
        <f t="shared" si="1"/>
        <v>3.4626038781171431E-4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118.71600000000001</v>
      </c>
      <c r="Q47" s="2"/>
      <c r="T47" s="93" t="s">
        <v>102</v>
      </c>
      <c r="U47" s="130">
        <v>125.68</v>
      </c>
      <c r="W47" s="133">
        <v>42689</v>
      </c>
      <c r="X47" s="10">
        <v>116.4</v>
      </c>
      <c r="Y47" s="10">
        <v>116.69</v>
      </c>
      <c r="Z47" s="10">
        <v>115.82</v>
      </c>
      <c r="AA47" s="10">
        <v>116.32</v>
      </c>
      <c r="AB47" s="95">
        <v>7446700</v>
      </c>
      <c r="AC47" s="10">
        <v>115.52</v>
      </c>
      <c r="AD47" s="2">
        <f t="shared" si="0"/>
        <v>0.87000000000000455</v>
      </c>
      <c r="AE47" s="138">
        <f t="shared" si="1"/>
        <v>-2.4179620034542326E-3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117.57450000000001</v>
      </c>
      <c r="Q48" s="2"/>
      <c r="T48" s="93" t="s">
        <v>103</v>
      </c>
      <c r="U48" s="130">
        <v>0.67225199999999996</v>
      </c>
      <c r="W48" s="133">
        <v>42688</v>
      </c>
      <c r="X48" s="10">
        <v>118.58</v>
      </c>
      <c r="Y48" s="10">
        <v>118.99</v>
      </c>
      <c r="Z48" s="10">
        <v>116.5</v>
      </c>
      <c r="AA48" s="10">
        <v>116.6</v>
      </c>
      <c r="AB48" s="95">
        <v>10054900</v>
      </c>
      <c r="AC48" s="10">
        <v>115.8</v>
      </c>
      <c r="AD48" s="2">
        <f t="shared" si="0"/>
        <v>2.4899999999999949</v>
      </c>
      <c r="AE48" s="138">
        <f t="shared" si="1"/>
        <v>-1.5808261091279974E-2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116.43300000000001</v>
      </c>
      <c r="Q49" s="2"/>
      <c r="T49" s="93" t="s">
        <v>104</v>
      </c>
      <c r="U49" s="130" t="s">
        <v>326</v>
      </c>
      <c r="W49" s="133">
        <v>42685</v>
      </c>
      <c r="X49" s="10">
        <v>119.49</v>
      </c>
      <c r="Y49" s="10">
        <v>119.49</v>
      </c>
      <c r="Z49" s="10">
        <v>118.13</v>
      </c>
      <c r="AA49" s="10">
        <v>118.47</v>
      </c>
      <c r="AB49" s="95">
        <v>8134800</v>
      </c>
      <c r="AC49" s="10">
        <v>117.66</v>
      </c>
      <c r="AD49" s="2">
        <f t="shared" si="0"/>
        <v>1.3599999999999994</v>
      </c>
      <c r="AE49" s="138">
        <f t="shared" si="1"/>
        <v>-8.9285714285713969E-3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115.29150000000001</v>
      </c>
      <c r="Q50" s="2"/>
      <c r="T50" s="93"/>
      <c r="U50" s="130"/>
      <c r="W50" s="133">
        <v>42684</v>
      </c>
      <c r="X50" s="10">
        <v>120.77</v>
      </c>
      <c r="Y50" s="10">
        <v>121.1</v>
      </c>
      <c r="Z50" s="10">
        <v>119.02</v>
      </c>
      <c r="AA50" s="10">
        <v>119.54</v>
      </c>
      <c r="AB50" s="95">
        <v>11904500</v>
      </c>
      <c r="AC50" s="10">
        <v>118.72</v>
      </c>
      <c r="AD50" s="2">
        <f t="shared" si="0"/>
        <v>2.0799999999999983</v>
      </c>
      <c r="AE50" s="138">
        <f t="shared" si="1"/>
        <v>-6.3608972212922943E-3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114.15</v>
      </c>
      <c r="Q51" s="2"/>
      <c r="T51" s="93" t="s">
        <v>105</v>
      </c>
      <c r="U51" s="130" t="s">
        <v>510</v>
      </c>
      <c r="W51" s="133">
        <v>42683</v>
      </c>
      <c r="X51" s="10">
        <v>120</v>
      </c>
      <c r="Y51" s="10">
        <v>122.5</v>
      </c>
      <c r="Z51" s="10">
        <v>118.1</v>
      </c>
      <c r="AA51" s="10">
        <v>120.31</v>
      </c>
      <c r="AB51" s="95">
        <v>16220000</v>
      </c>
      <c r="AC51" s="10">
        <v>119.48</v>
      </c>
      <c r="AD51" s="2">
        <f t="shared" si="0"/>
        <v>4.4000000000000057</v>
      </c>
      <c r="AE51" s="138">
        <f t="shared" si="1"/>
        <v>2.7784946236559138E-2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113.0085</v>
      </c>
      <c r="Q52" s="2"/>
      <c r="T52" s="93" t="s">
        <v>106</v>
      </c>
      <c r="U52" s="130" t="s">
        <v>511</v>
      </c>
      <c r="W52" s="133">
        <v>42682</v>
      </c>
      <c r="X52" s="10">
        <v>116.48</v>
      </c>
      <c r="Y52" s="10">
        <v>117.57</v>
      </c>
      <c r="Z52" s="10">
        <v>116.47</v>
      </c>
      <c r="AA52" s="10">
        <v>117.05</v>
      </c>
      <c r="AB52" s="95">
        <v>6675300</v>
      </c>
      <c r="AC52" s="10">
        <v>116.25</v>
      </c>
      <c r="AD52" s="2">
        <f t="shared" si="0"/>
        <v>1.0999999999999943</v>
      </c>
      <c r="AE52" s="138">
        <f t="shared" si="1"/>
        <v>3.3661315380630885E-3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111.867</v>
      </c>
      <c r="Q53" s="2"/>
      <c r="T53" s="93" t="s">
        <v>107</v>
      </c>
      <c r="U53" s="131">
        <v>7502425</v>
      </c>
      <c r="W53" s="133">
        <v>42681</v>
      </c>
      <c r="X53" s="10">
        <v>115.89</v>
      </c>
      <c r="Y53" s="10">
        <v>116.72</v>
      </c>
      <c r="Z53" s="10">
        <v>115.84</v>
      </c>
      <c r="AA53" s="10">
        <v>116.66</v>
      </c>
      <c r="AB53" s="95">
        <v>6398200</v>
      </c>
      <c r="AC53" s="10">
        <v>115.86</v>
      </c>
      <c r="AD53" s="2">
        <f t="shared" si="0"/>
        <v>0.87999999999999545</v>
      </c>
      <c r="AE53" s="138">
        <f t="shared" si="1"/>
        <v>1.3470958712386238E-2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110.7255</v>
      </c>
      <c r="T54" s="93" t="s">
        <v>110</v>
      </c>
      <c r="U54" s="131">
        <v>7086270</v>
      </c>
      <c r="W54" s="133">
        <v>42678</v>
      </c>
      <c r="X54" s="10">
        <v>115.04</v>
      </c>
      <c r="Y54" s="10">
        <v>115.94</v>
      </c>
      <c r="Z54" s="10">
        <v>115.04</v>
      </c>
      <c r="AA54" s="10">
        <v>115.11</v>
      </c>
      <c r="AB54" s="95">
        <v>7160600</v>
      </c>
      <c r="AC54" s="10">
        <v>114.32</v>
      </c>
      <c r="AD54" s="2">
        <f t="shared" si="0"/>
        <v>0.89999999999999147</v>
      </c>
      <c r="AE54" s="138">
        <f t="shared" si="1"/>
        <v>7.0028011204481544E-4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109.584</v>
      </c>
      <c r="T55" s="93" t="s">
        <v>108</v>
      </c>
      <c r="U55" s="130" t="s">
        <v>512</v>
      </c>
      <c r="W55" s="133">
        <v>42677</v>
      </c>
      <c r="X55" s="10">
        <v>114.88</v>
      </c>
      <c r="Y55" s="10">
        <v>115.44</v>
      </c>
      <c r="Z55" s="10">
        <v>114.75</v>
      </c>
      <c r="AA55" s="10">
        <v>115.03</v>
      </c>
      <c r="AB55" s="95">
        <v>6227100</v>
      </c>
      <c r="AC55" s="10">
        <v>114.24</v>
      </c>
      <c r="AD55" s="2">
        <f t="shared" si="0"/>
        <v>0.68999999999999773</v>
      </c>
      <c r="AE55" s="138">
        <f t="shared" si="1"/>
        <v>1.4903129657228842E-3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108.4425</v>
      </c>
      <c r="T56" s="93" t="s">
        <v>111</v>
      </c>
      <c r="U56" s="130">
        <v>20.04</v>
      </c>
      <c r="W56" s="133">
        <v>42676</v>
      </c>
      <c r="X56" s="10">
        <v>115.52</v>
      </c>
      <c r="Y56" s="10">
        <v>115.76</v>
      </c>
      <c r="Z56" s="10">
        <v>114.83</v>
      </c>
      <c r="AA56" s="10">
        <v>114.86</v>
      </c>
      <c r="AB56" s="95">
        <v>6591300</v>
      </c>
      <c r="AC56" s="10">
        <v>114.07</v>
      </c>
      <c r="AD56" s="2">
        <f t="shared" si="0"/>
        <v>0.93000000000000682</v>
      </c>
      <c r="AE56" s="138">
        <f t="shared" si="1"/>
        <v>-4.1903099083370199E-3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107.301</v>
      </c>
      <c r="T57" s="93" t="s">
        <v>112</v>
      </c>
      <c r="U57" s="130">
        <v>5.7</v>
      </c>
      <c r="W57" s="133">
        <v>42675</v>
      </c>
      <c r="X57" s="10">
        <v>114.76</v>
      </c>
      <c r="Y57" s="10">
        <v>115.94</v>
      </c>
      <c r="Z57" s="10">
        <v>114.63</v>
      </c>
      <c r="AA57" s="10">
        <v>115.34</v>
      </c>
      <c r="AB57" s="95">
        <v>7591900</v>
      </c>
      <c r="AC57" s="10">
        <v>114.55</v>
      </c>
      <c r="AD57" s="2">
        <f t="shared" si="0"/>
        <v>1.3100000000000023</v>
      </c>
      <c r="AE57" s="138">
        <f t="shared" si="1"/>
        <v>-5.5560378505078445E-3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106.15950000000001</v>
      </c>
      <c r="T58" s="93" t="s">
        <v>109</v>
      </c>
      <c r="U58" s="130" t="s">
        <v>636</v>
      </c>
      <c r="W58" s="133">
        <v>42674</v>
      </c>
      <c r="X58" s="10">
        <v>115.28</v>
      </c>
      <c r="Y58" s="10">
        <v>116.23</v>
      </c>
      <c r="Z58" s="10">
        <v>114.5</v>
      </c>
      <c r="AA58" s="10">
        <v>115.99</v>
      </c>
      <c r="AB58" s="95">
        <v>8552500</v>
      </c>
      <c r="AC58" s="10">
        <v>115.19</v>
      </c>
      <c r="AD58" s="2">
        <f t="shared" si="0"/>
        <v>1.730000000000004</v>
      </c>
      <c r="AE58" s="138">
        <f t="shared" si="1"/>
        <v>5.6748734066700557E-3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105.01800000000001</v>
      </c>
      <c r="W59" s="133">
        <v>42671</v>
      </c>
      <c r="X59" s="10">
        <v>115.82</v>
      </c>
      <c r="Y59" s="10">
        <v>115.91</v>
      </c>
      <c r="Z59" s="10">
        <v>114.57</v>
      </c>
      <c r="AA59" s="10">
        <v>115.33</v>
      </c>
      <c r="AB59" s="95">
        <v>8813300</v>
      </c>
      <c r="AC59" s="10">
        <v>114.54</v>
      </c>
      <c r="AD59" s="2">
        <f t="shared" si="0"/>
        <v>1.3400000000000034</v>
      </c>
      <c r="AE59" s="138">
        <f t="shared" si="1"/>
        <v>-3.2199112348794134E-3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103.87650000000001</v>
      </c>
      <c r="W60" s="133">
        <v>42670</v>
      </c>
      <c r="X60" s="10">
        <v>114.98</v>
      </c>
      <c r="Y60" s="10">
        <v>116.55</v>
      </c>
      <c r="Z60" s="10">
        <v>114.79</v>
      </c>
      <c r="AA60" s="10">
        <v>115.7</v>
      </c>
      <c r="AB60" s="95">
        <v>7548700</v>
      </c>
      <c r="AC60" s="10">
        <v>114.91</v>
      </c>
      <c r="AD60" s="2">
        <f t="shared" si="0"/>
        <v>1.7599999999999909</v>
      </c>
      <c r="AE60" s="138">
        <f t="shared" si="1"/>
        <v>1.0020216225718581E-2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102.73500000000001</v>
      </c>
      <c r="W61" s="133">
        <v>42669</v>
      </c>
      <c r="X61" s="10">
        <v>113.64</v>
      </c>
      <c r="Y61" s="10">
        <v>115.22</v>
      </c>
      <c r="Z61" s="10">
        <v>113.6</v>
      </c>
      <c r="AA61" s="10">
        <v>114.56</v>
      </c>
      <c r="AB61" s="95">
        <v>6429200</v>
      </c>
      <c r="AC61" s="10">
        <v>113.77</v>
      </c>
      <c r="AD61" s="2">
        <f t="shared" si="0"/>
        <v>1.6200000000000045</v>
      </c>
      <c r="AE61" s="138">
        <f t="shared" si="1"/>
        <v>5.2129351475524999E-3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113.64</v>
      </c>
      <c r="Y62" s="10">
        <v>114.16</v>
      </c>
      <c r="Z62" s="10">
        <v>113.09</v>
      </c>
      <c r="AA62" s="10">
        <v>113.96</v>
      </c>
      <c r="AB62" s="95">
        <v>5595000</v>
      </c>
      <c r="AC62" s="10">
        <v>113.18</v>
      </c>
      <c r="AD62" s="2">
        <f t="shared" si="0"/>
        <v>1.0699999999999932</v>
      </c>
      <c r="AE62" s="138">
        <f t="shared" si="1"/>
        <v>3.1020118762741244E-3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113.93</v>
      </c>
      <c r="Y63" s="10">
        <v>114.19</v>
      </c>
      <c r="Z63" s="10">
        <v>113.44</v>
      </c>
      <c r="AA63" s="10">
        <v>113.61</v>
      </c>
      <c r="AB63" s="95">
        <v>6141900</v>
      </c>
      <c r="AC63" s="10">
        <v>112.83</v>
      </c>
      <c r="AD63" s="2">
        <f t="shared" si="0"/>
        <v>0.75</v>
      </c>
      <c r="AE63" s="138">
        <f t="shared" si="1"/>
        <v>1.5089650275164068E-3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114.11</v>
      </c>
      <c r="Y64" s="10">
        <v>114.24</v>
      </c>
      <c r="Z64" s="10">
        <v>112.99</v>
      </c>
      <c r="AA64" s="10">
        <v>113.44</v>
      </c>
      <c r="AB64" s="95">
        <v>8422000</v>
      </c>
      <c r="AC64" s="10">
        <v>112.66</v>
      </c>
      <c r="AD64" s="2">
        <f t="shared" si="0"/>
        <v>1.25</v>
      </c>
      <c r="AE64" s="138">
        <f t="shared" si="1"/>
        <v>-1.244740532959332E-2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114.83</v>
      </c>
      <c r="Y65" s="10">
        <v>115.7</v>
      </c>
      <c r="Z65" s="10">
        <v>114.59</v>
      </c>
      <c r="AA65" s="10">
        <v>114.87</v>
      </c>
      <c r="AB65" s="95">
        <v>6973000</v>
      </c>
      <c r="AC65" s="10">
        <v>114.08</v>
      </c>
      <c r="AD65" s="2">
        <f t="shared" si="0"/>
        <v>1.1099999999999994</v>
      </c>
      <c r="AE65" s="138">
        <f t="shared" si="1"/>
        <v>2.460456942003475E-3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115.57</v>
      </c>
      <c r="Y66" s="10">
        <v>115.89</v>
      </c>
      <c r="Z66" s="10">
        <v>114.46</v>
      </c>
      <c r="AA66" s="10">
        <v>114.59</v>
      </c>
      <c r="AB66" s="95">
        <v>7400900</v>
      </c>
      <c r="AC66" s="10">
        <v>113.8</v>
      </c>
      <c r="AD66" s="2">
        <f t="shared" si="0"/>
        <v>1.4300000000000068</v>
      </c>
      <c r="AE66" s="138">
        <f t="shared" si="1"/>
        <v>-7.1540743325773093E-3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117.38</v>
      </c>
      <c r="Y67" s="10">
        <v>118.48</v>
      </c>
      <c r="Z67" s="10">
        <v>115.16</v>
      </c>
      <c r="AA67" s="10">
        <v>115.41</v>
      </c>
      <c r="AB67" s="95">
        <v>12598300</v>
      </c>
      <c r="AC67" s="10">
        <v>114.62</v>
      </c>
      <c r="AD67" s="2">
        <f>Y67-Z67</f>
        <v>3.3200000000000074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117.5</v>
      </c>
      <c r="Y68" s="10">
        <v>118.55</v>
      </c>
      <c r="Z68" s="10">
        <v>117.5</v>
      </c>
      <c r="AA68" s="10">
        <v>118.49</v>
      </c>
      <c r="AB68" s="95">
        <v>6956400</v>
      </c>
      <c r="AC68" s="10">
        <v>117.68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93" priority="9">
      <formula>F33&gt;0</formula>
    </cfRule>
    <cfRule type="expression" dxfId="692" priority="10">
      <formula>F33&lt;0</formula>
    </cfRule>
  </conditionalFormatting>
  <conditionalFormatting sqref="Q7">
    <cfRule type="expression" dxfId="691" priority="7">
      <formula>Q7&gt;0</formula>
    </cfRule>
    <cfRule type="expression" dxfId="690" priority="8">
      <formula>Q7&lt;0</formula>
    </cfRule>
  </conditionalFormatting>
  <conditionalFormatting sqref="Q8">
    <cfRule type="expression" dxfId="689" priority="5">
      <formula>Q8&gt;0</formula>
    </cfRule>
    <cfRule type="expression" dxfId="688" priority="6">
      <formula>Q8&lt;0</formula>
    </cfRule>
  </conditionalFormatting>
  <conditionalFormatting sqref="F25:F32">
    <cfRule type="expression" dxfId="687" priority="3">
      <formula>F25&gt;0</formula>
    </cfRule>
    <cfRule type="expression" dxfId="686" priority="4">
      <formula>F25&lt;0</formula>
    </cfRule>
  </conditionalFormatting>
  <conditionalFormatting sqref="H25:H32">
    <cfRule type="expression" dxfId="685" priority="1">
      <formula>H25&gt;0</formula>
    </cfRule>
    <cfRule type="expression" dxfId="6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244</v>
      </c>
      <c r="W2" s="123">
        <v>42755</v>
      </c>
      <c r="X2" s="41">
        <v>12.33</v>
      </c>
      <c r="Y2" s="41">
        <v>12.43</v>
      </c>
      <c r="Z2" s="41">
        <v>12</v>
      </c>
      <c r="AA2" s="41">
        <v>12.07</v>
      </c>
      <c r="AB2" s="104">
        <v>4522900</v>
      </c>
      <c r="AC2" s="9">
        <v>12.07</v>
      </c>
      <c r="AD2" s="2">
        <f>Y2-Z2</f>
        <v>0.42999999999999972</v>
      </c>
      <c r="AE2" s="138">
        <f>AC2/AC3-1</f>
        <v>-9.8441345365052335E-3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277</v>
      </c>
      <c r="W3" s="123">
        <v>42754</v>
      </c>
      <c r="X3" s="41">
        <v>12.18</v>
      </c>
      <c r="Y3" s="41">
        <v>12.29</v>
      </c>
      <c r="Z3" s="41">
        <v>12.09</v>
      </c>
      <c r="AA3" s="41">
        <v>12.19</v>
      </c>
      <c r="AB3" s="104">
        <v>3993400</v>
      </c>
      <c r="AC3" s="9">
        <v>12.19</v>
      </c>
      <c r="AD3" s="2">
        <f t="shared" ref="AD3:AD66" si="1">Y3-Z3</f>
        <v>0.19999999999999929</v>
      </c>
      <c r="AE3" s="138">
        <f t="shared" ref="AE3:AE66" si="2">AC3/AC4-1</f>
        <v>-8.1967213114753079E-4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12.07</v>
      </c>
      <c r="R4" s="505">
        <v>-9.7999999999999997E-3</v>
      </c>
      <c r="T4" s="1"/>
      <c r="W4" s="123">
        <v>42753</v>
      </c>
      <c r="X4" s="41">
        <v>12.37</v>
      </c>
      <c r="Y4" s="41">
        <v>12.44</v>
      </c>
      <c r="Z4" s="41">
        <v>12.19</v>
      </c>
      <c r="AA4" s="41">
        <v>12.2</v>
      </c>
      <c r="AB4" s="104">
        <v>3716800</v>
      </c>
      <c r="AC4" s="9">
        <v>12.2</v>
      </c>
      <c r="AD4" s="2">
        <f t="shared" si="1"/>
        <v>0.25</v>
      </c>
      <c r="AE4" s="138">
        <f t="shared" si="2"/>
        <v>-1.6921837228041969E-2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24140</v>
      </c>
      <c r="T5" s="1"/>
      <c r="W5" s="123">
        <v>42752</v>
      </c>
      <c r="X5" s="41">
        <v>12.35</v>
      </c>
      <c r="Y5" s="41">
        <v>12.6</v>
      </c>
      <c r="Z5" s="41">
        <v>12.19</v>
      </c>
      <c r="AA5" s="41">
        <v>12.41</v>
      </c>
      <c r="AB5" s="104">
        <v>3685700</v>
      </c>
      <c r="AC5" s="9">
        <v>12.41</v>
      </c>
      <c r="AD5" s="2">
        <f t="shared" si="1"/>
        <v>0.41000000000000014</v>
      </c>
      <c r="AE5" s="138">
        <f t="shared" si="2"/>
        <v>1.4717906786590351E-2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42748</v>
      </c>
      <c r="X6" s="41">
        <v>12.09</v>
      </c>
      <c r="Y6" s="41">
        <v>12.24</v>
      </c>
      <c r="Z6" s="41">
        <v>12.09</v>
      </c>
      <c r="AA6" s="41">
        <v>12.23</v>
      </c>
      <c r="AB6" s="104">
        <v>2467800</v>
      </c>
      <c r="AC6" s="9">
        <v>12.23</v>
      </c>
      <c r="AD6" s="2">
        <f t="shared" si="1"/>
        <v>0.15000000000000036</v>
      </c>
      <c r="AE6" s="138">
        <f t="shared" si="2"/>
        <v>8.2440230832645511E-3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-25437.050000000163</v>
      </c>
      <c r="R7">
        <v>2000</v>
      </c>
      <c r="W7" s="123">
        <v>42747</v>
      </c>
      <c r="X7" s="41">
        <v>12.04</v>
      </c>
      <c r="Y7" s="41">
        <v>12.18</v>
      </c>
      <c r="Z7" s="41">
        <v>11.99</v>
      </c>
      <c r="AA7" s="41">
        <v>12.13</v>
      </c>
      <c r="AB7" s="104">
        <v>2737000</v>
      </c>
      <c r="AC7" s="9">
        <v>12.13</v>
      </c>
      <c r="AD7" s="2">
        <f t="shared" si="1"/>
        <v>0.1899999999999995</v>
      </c>
      <c r="AE7" s="138">
        <f t="shared" si="2"/>
        <v>8.2508250825097385E-4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-25437.050000000163</v>
      </c>
      <c r="R8" s="166"/>
      <c r="W8" s="123">
        <v>42746</v>
      </c>
      <c r="X8" s="41">
        <v>11.89</v>
      </c>
      <c r="Y8" s="41">
        <v>12.16</v>
      </c>
      <c r="Z8" s="41">
        <v>11.89</v>
      </c>
      <c r="AA8" s="41">
        <v>12.12</v>
      </c>
      <c r="AB8" s="104">
        <v>2583900</v>
      </c>
      <c r="AC8" s="9">
        <v>12.12</v>
      </c>
      <c r="AD8" s="2">
        <f t="shared" si="1"/>
        <v>0.26999999999999957</v>
      </c>
      <c r="AE8" s="138">
        <f t="shared" si="2"/>
        <v>2.2784810126582178E-2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215</v>
      </c>
      <c r="Q9" s="138">
        <f>IF(Q2=0, 0, Q8/Q6)</f>
        <v>-0.51308115347726579</v>
      </c>
      <c r="W9" s="123">
        <v>42745</v>
      </c>
      <c r="X9" s="41">
        <v>11.87</v>
      </c>
      <c r="Y9" s="41">
        <v>11.89</v>
      </c>
      <c r="Z9" s="41">
        <v>11.7</v>
      </c>
      <c r="AA9" s="41">
        <v>11.85</v>
      </c>
      <c r="AB9" s="104">
        <v>2020600</v>
      </c>
      <c r="AC9" s="9">
        <v>11.85</v>
      </c>
      <c r="AD9" s="2">
        <f t="shared" si="1"/>
        <v>0.19000000000000128</v>
      </c>
      <c r="AE9" s="138">
        <f t="shared" si="2"/>
        <v>1.6906170752324368E-3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214</v>
      </c>
      <c r="P10" s="34"/>
      <c r="Q10" s="2">
        <v>0</v>
      </c>
      <c r="W10" s="123">
        <v>42744</v>
      </c>
      <c r="X10" s="41">
        <v>12.04</v>
      </c>
      <c r="Y10" s="41">
        <v>12.04</v>
      </c>
      <c r="Z10" s="41">
        <v>11.77</v>
      </c>
      <c r="AA10" s="41">
        <v>11.83</v>
      </c>
      <c r="AB10" s="104">
        <v>2341900</v>
      </c>
      <c r="AC10" s="9">
        <v>11.83</v>
      </c>
      <c r="AD10" s="2">
        <f t="shared" si="1"/>
        <v>0.26999999999999957</v>
      </c>
      <c r="AE10" s="138">
        <f t="shared" si="2"/>
        <v>-1.988400994200501E-2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42741</v>
      </c>
      <c r="X11" s="41">
        <v>11.7</v>
      </c>
      <c r="Y11" s="41">
        <v>12.09</v>
      </c>
      <c r="Z11" s="41">
        <v>11.59</v>
      </c>
      <c r="AA11" s="41">
        <v>12.07</v>
      </c>
      <c r="AB11" s="104">
        <v>3296700</v>
      </c>
      <c r="AC11" s="9">
        <v>12.07</v>
      </c>
      <c r="AD11" s="2">
        <f t="shared" si="1"/>
        <v>0.5</v>
      </c>
      <c r="AE11" s="138">
        <f t="shared" si="2"/>
        <v>3.5162950257289882E-2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42740</v>
      </c>
      <c r="X12" s="41">
        <v>11.76</v>
      </c>
      <c r="Y12" s="41">
        <v>11.82</v>
      </c>
      <c r="Z12" s="41">
        <v>11.6</v>
      </c>
      <c r="AA12" s="41">
        <v>11.66</v>
      </c>
      <c r="AB12" s="104">
        <v>5572300</v>
      </c>
      <c r="AC12" s="9">
        <v>11.66</v>
      </c>
      <c r="AD12" s="2">
        <f t="shared" si="1"/>
        <v>0.22000000000000064</v>
      </c>
      <c r="AE12" s="138">
        <f t="shared" si="2"/>
        <v>-3.4188034188032956E-3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42739</v>
      </c>
      <c r="X13" s="41">
        <v>11.42</v>
      </c>
      <c r="Y13" s="41">
        <v>11.8</v>
      </c>
      <c r="Z13" s="41">
        <v>11.42</v>
      </c>
      <c r="AA13" s="41">
        <v>11.7</v>
      </c>
      <c r="AB13" s="104">
        <v>5951100</v>
      </c>
      <c r="AC13" s="9">
        <v>11.7</v>
      </c>
      <c r="AD13" s="2">
        <f t="shared" si="1"/>
        <v>0.38000000000000078</v>
      </c>
      <c r="AE13" s="138">
        <f t="shared" si="2"/>
        <v>2.1834061135371119E-2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42738</v>
      </c>
      <c r="X14" s="41">
        <v>11.46</v>
      </c>
      <c r="Y14" s="41">
        <v>11.54</v>
      </c>
      <c r="Z14" s="41">
        <v>11.32</v>
      </c>
      <c r="AA14" s="41">
        <v>11.45</v>
      </c>
      <c r="AB14" s="104">
        <v>3167400</v>
      </c>
      <c r="AC14" s="9">
        <v>11.45</v>
      </c>
      <c r="AD14" s="2">
        <f t="shared" si="1"/>
        <v>0.21999999999999886</v>
      </c>
      <c r="AE14" s="138">
        <f t="shared" si="2"/>
        <v>1.7497812773403787E-3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42734</v>
      </c>
      <c r="X15" s="41">
        <v>11.61</v>
      </c>
      <c r="Y15" s="41">
        <v>11.61</v>
      </c>
      <c r="Z15" s="41">
        <v>11.4</v>
      </c>
      <c r="AA15" s="41">
        <v>11.43</v>
      </c>
      <c r="AB15" s="104">
        <v>2775400</v>
      </c>
      <c r="AC15" s="9">
        <v>11.43</v>
      </c>
      <c r="AD15" s="2">
        <f t="shared" si="1"/>
        <v>0.20999999999999908</v>
      </c>
      <c r="AE15" s="138">
        <f t="shared" si="2"/>
        <v>-1.8041237113402109E-2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42733</v>
      </c>
      <c r="X16" s="41">
        <v>11.45</v>
      </c>
      <c r="Y16" s="41">
        <v>11.65</v>
      </c>
      <c r="Z16" s="41">
        <v>11.39</v>
      </c>
      <c r="AA16" s="41">
        <v>11.64</v>
      </c>
      <c r="AB16" s="104">
        <v>2924800</v>
      </c>
      <c r="AC16" s="9">
        <v>11.64</v>
      </c>
      <c r="AD16" s="2">
        <f t="shared" si="1"/>
        <v>0.25999999999999979</v>
      </c>
      <c r="AE16" s="138">
        <f t="shared" si="2"/>
        <v>1.5706806282722585E-2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42732</v>
      </c>
      <c r="X17" s="41">
        <v>11.78</v>
      </c>
      <c r="Y17" s="41">
        <v>11.79</v>
      </c>
      <c r="Z17" s="41">
        <v>11.46</v>
      </c>
      <c r="AA17" s="41">
        <v>11.46</v>
      </c>
      <c r="AB17" s="104">
        <v>3649000</v>
      </c>
      <c r="AC17" s="9">
        <v>11.46</v>
      </c>
      <c r="AD17" s="2">
        <f t="shared" si="1"/>
        <v>0.32999999999999829</v>
      </c>
      <c r="AE17" s="138">
        <f t="shared" si="2"/>
        <v>-2.1349274124679796E-2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42731</v>
      </c>
      <c r="X18" s="41">
        <v>11.69</v>
      </c>
      <c r="Y18" s="41">
        <v>11.81</v>
      </c>
      <c r="Z18" s="41">
        <v>11.6</v>
      </c>
      <c r="AA18" s="41">
        <v>11.71</v>
      </c>
      <c r="AB18" s="104">
        <v>2661400</v>
      </c>
      <c r="AC18" s="9">
        <v>11.71</v>
      </c>
      <c r="AD18" s="2">
        <f t="shared" si="1"/>
        <v>0.21000000000000085</v>
      </c>
      <c r="AE18" s="138">
        <f t="shared" si="2"/>
        <v>6.0137457044673326E-3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42727</v>
      </c>
      <c r="X19" s="41">
        <v>11.58</v>
      </c>
      <c r="Y19" s="41">
        <v>11.67</v>
      </c>
      <c r="Z19" s="41">
        <v>11.47</v>
      </c>
      <c r="AA19" s="41">
        <v>11.64</v>
      </c>
      <c r="AB19" s="104">
        <v>1850000</v>
      </c>
      <c r="AC19" s="9">
        <v>11.64</v>
      </c>
      <c r="AD19" s="2">
        <f t="shared" si="1"/>
        <v>0.19999999999999929</v>
      </c>
      <c r="AE19" s="138">
        <f t="shared" si="2"/>
        <v>8.6655112651647936E-3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42726</v>
      </c>
      <c r="X20" s="41">
        <v>11.53</v>
      </c>
      <c r="Y20" s="41">
        <v>11.64</v>
      </c>
      <c r="Z20" s="41">
        <v>11.45</v>
      </c>
      <c r="AA20" s="41">
        <v>11.54</v>
      </c>
      <c r="AB20" s="104">
        <v>4786100</v>
      </c>
      <c r="AC20" s="9">
        <v>11.54</v>
      </c>
      <c r="AD20" s="2">
        <f t="shared" si="1"/>
        <v>0.19000000000000128</v>
      </c>
      <c r="AE20" s="138">
        <f t="shared" si="2"/>
        <v>2.6064291920069316E-3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42725</v>
      </c>
      <c r="X21" s="41">
        <v>11.49</v>
      </c>
      <c r="Y21" s="41">
        <v>11.67</v>
      </c>
      <c r="Z21" s="41">
        <v>11.44</v>
      </c>
      <c r="AA21" s="41">
        <v>11.51</v>
      </c>
      <c r="AB21" s="104">
        <v>2531700</v>
      </c>
      <c r="AC21" s="9">
        <v>11.51</v>
      </c>
      <c r="AD21" s="2">
        <f t="shared" si="1"/>
        <v>0.23000000000000043</v>
      </c>
      <c r="AE21" s="138">
        <f t="shared" si="2"/>
        <v>3.4873583260679464E-3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42724</v>
      </c>
      <c r="X22" s="41">
        <v>11.63</v>
      </c>
      <c r="Y22" s="41">
        <v>11.69</v>
      </c>
      <c r="Z22" s="41">
        <v>11.43</v>
      </c>
      <c r="AA22" s="41">
        <v>11.47</v>
      </c>
      <c r="AB22" s="104">
        <v>2599500</v>
      </c>
      <c r="AC22" s="9">
        <v>11.47</v>
      </c>
      <c r="AD22" s="2">
        <f t="shared" si="1"/>
        <v>0.25999999999999979</v>
      </c>
      <c r="AE22" s="138">
        <f t="shared" si="2"/>
        <v>-1.713796058269057E-2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42723</v>
      </c>
      <c r="X23" s="41">
        <v>11.6</v>
      </c>
      <c r="Y23" s="41">
        <v>11.73</v>
      </c>
      <c r="Z23" s="41">
        <v>11.48</v>
      </c>
      <c r="AA23" s="41">
        <v>11.67</v>
      </c>
      <c r="AB23" s="104">
        <v>3753100</v>
      </c>
      <c r="AC23" s="9">
        <v>11.67</v>
      </c>
      <c r="AD23" s="2">
        <f t="shared" si="1"/>
        <v>0.25</v>
      </c>
      <c r="AE23" s="138">
        <f t="shared" si="2"/>
        <v>9.5155709342560346E-3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42720</v>
      </c>
      <c r="X24" s="41">
        <v>11.45</v>
      </c>
      <c r="Y24" s="41">
        <v>11.67</v>
      </c>
      <c r="Z24" s="41">
        <v>11.45</v>
      </c>
      <c r="AA24" s="41">
        <v>11.56</v>
      </c>
      <c r="AB24" s="104">
        <v>18758200</v>
      </c>
      <c r="AC24" s="9">
        <v>11.56</v>
      </c>
      <c r="AD24" s="2">
        <f t="shared" si="1"/>
        <v>0.22000000000000064</v>
      </c>
      <c r="AE24" s="138">
        <f t="shared" si="2"/>
        <v>5.2173913043478404E-3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42719</v>
      </c>
      <c r="X25" s="41">
        <v>11.33</v>
      </c>
      <c r="Y25" s="41">
        <v>11.54</v>
      </c>
      <c r="Z25" s="41">
        <v>11.21</v>
      </c>
      <c r="AA25" s="41">
        <v>11.5</v>
      </c>
      <c r="AB25" s="104">
        <v>4116700</v>
      </c>
      <c r="AC25" s="9">
        <v>11.5</v>
      </c>
      <c r="AD25" s="2">
        <f t="shared" si="1"/>
        <v>0.32999999999999829</v>
      </c>
      <c r="AE25" s="138">
        <f t="shared" si="2"/>
        <v>1.2323943661971981E-2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42718</v>
      </c>
      <c r="X26" s="41">
        <v>11.57</v>
      </c>
      <c r="Y26" s="41">
        <v>11.71</v>
      </c>
      <c r="Z26" s="41">
        <v>11.35</v>
      </c>
      <c r="AA26" s="41">
        <v>11.36</v>
      </c>
      <c r="AB26" s="104">
        <v>3446100</v>
      </c>
      <c r="AC26" s="9">
        <v>11.36</v>
      </c>
      <c r="AD26" s="2">
        <f t="shared" si="1"/>
        <v>0.36000000000000121</v>
      </c>
      <c r="AE26" s="138">
        <f t="shared" si="2"/>
        <v>-1.730103806228378E-2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42717</v>
      </c>
      <c r="X27" s="41">
        <v>11.54</v>
      </c>
      <c r="Y27" s="41">
        <v>11.63</v>
      </c>
      <c r="Z27" s="41">
        <v>11.43</v>
      </c>
      <c r="AA27" s="41">
        <v>11.56</v>
      </c>
      <c r="AB27" s="104">
        <v>3397400</v>
      </c>
      <c r="AC27" s="9">
        <v>11.56</v>
      </c>
      <c r="AD27" s="2">
        <f t="shared" si="1"/>
        <v>0.20000000000000107</v>
      </c>
      <c r="AE27" s="138">
        <f t="shared" si="2"/>
        <v>1.1373578302712239E-2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42716</v>
      </c>
      <c r="X28" s="41">
        <v>11.59</v>
      </c>
      <c r="Y28" s="41">
        <v>11.78</v>
      </c>
      <c r="Z28" s="41">
        <v>11.37</v>
      </c>
      <c r="AA28" s="41">
        <v>11.43</v>
      </c>
      <c r="AB28" s="104">
        <v>4009800</v>
      </c>
      <c r="AC28" s="9">
        <v>11.43</v>
      </c>
      <c r="AD28" s="2">
        <f t="shared" si="1"/>
        <v>0.41000000000000014</v>
      </c>
      <c r="AE28" s="138">
        <f t="shared" si="2"/>
        <v>-1.9725557461406584E-2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42713</v>
      </c>
      <c r="X29" s="41">
        <v>11.4</v>
      </c>
      <c r="Y29" s="41">
        <v>11.74</v>
      </c>
      <c r="Z29" s="41">
        <v>11.28</v>
      </c>
      <c r="AA29" s="41">
        <v>11.66</v>
      </c>
      <c r="AB29" s="104">
        <v>9061400</v>
      </c>
      <c r="AC29" s="9">
        <v>11.66</v>
      </c>
      <c r="AD29" s="2">
        <f t="shared" si="1"/>
        <v>0.46000000000000085</v>
      </c>
      <c r="AE29" s="138">
        <f t="shared" si="2"/>
        <v>3.3687943262411313E-2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42712</v>
      </c>
      <c r="X30" s="41">
        <v>11.05</v>
      </c>
      <c r="Y30" s="41">
        <v>11.41</v>
      </c>
      <c r="Z30" s="41">
        <v>10.95</v>
      </c>
      <c r="AA30" s="41">
        <v>11.28</v>
      </c>
      <c r="AB30" s="104">
        <v>6680000</v>
      </c>
      <c r="AC30" s="9">
        <v>11.28</v>
      </c>
      <c r="AD30" s="2">
        <f t="shared" si="1"/>
        <v>0.46000000000000085</v>
      </c>
      <c r="AE30" s="138">
        <f t="shared" si="2"/>
        <v>1.9891500904158921E-2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42711</v>
      </c>
      <c r="X31" s="41">
        <v>11.1</v>
      </c>
      <c r="Y31" s="41">
        <v>11.21</v>
      </c>
      <c r="Z31" s="41">
        <v>11.05</v>
      </c>
      <c r="AA31" s="41">
        <v>11.06</v>
      </c>
      <c r="AB31" s="104">
        <v>5592200</v>
      </c>
      <c r="AC31" s="9">
        <v>11.06</v>
      </c>
      <c r="AD31" s="2">
        <f t="shared" si="1"/>
        <v>0.16000000000000014</v>
      </c>
      <c r="AE31" s="138">
        <f t="shared" si="2"/>
        <v>-3.6036036036035668E-3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42710</v>
      </c>
      <c r="X32" s="41">
        <v>10.9</v>
      </c>
      <c r="Y32" s="41">
        <v>11.16</v>
      </c>
      <c r="Z32" s="41">
        <v>10.89</v>
      </c>
      <c r="AA32" s="41">
        <v>11.1</v>
      </c>
      <c r="AB32" s="104">
        <v>6864300</v>
      </c>
      <c r="AC32" s="9">
        <v>11.1</v>
      </c>
      <c r="AD32" s="2">
        <f t="shared" si="1"/>
        <v>0.26999999999999957</v>
      </c>
      <c r="AE32" s="138">
        <f t="shared" si="2"/>
        <v>2.4930747922437657E-2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42709</v>
      </c>
      <c r="X33" s="41">
        <v>10.52</v>
      </c>
      <c r="Y33" s="41">
        <v>10.86</v>
      </c>
      <c r="Z33" s="41">
        <v>10.45</v>
      </c>
      <c r="AA33" s="41">
        <v>10.83</v>
      </c>
      <c r="AB33" s="104">
        <v>4338100</v>
      </c>
      <c r="AC33" s="9">
        <v>10.83</v>
      </c>
      <c r="AD33" s="2">
        <f t="shared" si="1"/>
        <v>0.41000000000000014</v>
      </c>
      <c r="AE33" s="138">
        <f t="shared" si="2"/>
        <v>3.1428571428571361E-2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42706</v>
      </c>
      <c r="X34" s="41">
        <v>10.52</v>
      </c>
      <c r="Y34" s="41">
        <v>10.76</v>
      </c>
      <c r="Z34" s="41">
        <v>10.41</v>
      </c>
      <c r="AA34" s="41">
        <v>10.5</v>
      </c>
      <c r="AB34" s="104">
        <v>6667000</v>
      </c>
      <c r="AC34" s="9">
        <v>10.5</v>
      </c>
      <c r="AD34" s="2">
        <f t="shared" si="1"/>
        <v>0.34999999999999964</v>
      </c>
      <c r="AE34" s="138">
        <f t="shared" si="2"/>
        <v>8.6455331412103043E-3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42705</v>
      </c>
      <c r="X35" s="41">
        <v>11.12</v>
      </c>
      <c r="Y35" s="41">
        <v>11.21</v>
      </c>
      <c r="Z35" s="41">
        <v>10.39</v>
      </c>
      <c r="AA35" s="41">
        <v>10.41</v>
      </c>
      <c r="AB35" s="104">
        <v>7010500</v>
      </c>
      <c r="AC35" s="9">
        <v>10.41</v>
      </c>
      <c r="AD35" s="2">
        <f t="shared" si="1"/>
        <v>0.82000000000000028</v>
      </c>
      <c r="AE35" s="138">
        <f t="shared" si="2"/>
        <v>-6.6367713004484297E-2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42704</v>
      </c>
      <c r="X36" s="41">
        <v>11.6</v>
      </c>
      <c r="Y36" s="41">
        <v>11.6</v>
      </c>
      <c r="Z36" s="41">
        <v>11.15</v>
      </c>
      <c r="AA36" s="41">
        <v>11.15</v>
      </c>
      <c r="AB36" s="104">
        <v>5671400</v>
      </c>
      <c r="AC36" s="9">
        <v>11.15</v>
      </c>
      <c r="AD36" s="2">
        <f t="shared" si="1"/>
        <v>0.44999999999999929</v>
      </c>
      <c r="AE36" s="138">
        <f t="shared" si="2"/>
        <v>-3.2957502168256658E-2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42703</v>
      </c>
      <c r="X37" s="41">
        <v>11.82</v>
      </c>
      <c r="Y37" s="41">
        <v>11.92</v>
      </c>
      <c r="Z37" s="41">
        <v>11.46</v>
      </c>
      <c r="AA37" s="41">
        <v>11.53</v>
      </c>
      <c r="AB37" s="104">
        <v>2896500</v>
      </c>
      <c r="AC37" s="9">
        <v>11.53</v>
      </c>
      <c r="AD37" s="2">
        <f t="shared" si="1"/>
        <v>0.45999999999999908</v>
      </c>
      <c r="AE37" s="138">
        <f t="shared" si="2"/>
        <v>-3.2718120805369177E-2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42702</v>
      </c>
      <c r="X38" s="41">
        <v>11.77</v>
      </c>
      <c r="Y38" s="41">
        <v>11.93</v>
      </c>
      <c r="Z38" s="41">
        <v>11.74</v>
      </c>
      <c r="AA38" s="41">
        <v>11.92</v>
      </c>
      <c r="AB38" s="104">
        <v>2516100</v>
      </c>
      <c r="AC38" s="9">
        <v>11.92</v>
      </c>
      <c r="AD38" s="2">
        <f t="shared" si="1"/>
        <v>0.1899999999999995</v>
      </c>
      <c r="AE38" s="138">
        <f t="shared" si="2"/>
        <v>1.7064846416382284E-2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42699</v>
      </c>
      <c r="X39" s="41">
        <v>11.68</v>
      </c>
      <c r="Y39" s="41">
        <v>11.79</v>
      </c>
      <c r="Z39" s="41">
        <v>11.6</v>
      </c>
      <c r="AA39" s="41">
        <v>11.72</v>
      </c>
      <c r="AB39" s="104">
        <v>753700</v>
      </c>
      <c r="AC39" s="9">
        <v>11.72</v>
      </c>
      <c r="AD39" s="2">
        <f t="shared" si="1"/>
        <v>0.1899999999999995</v>
      </c>
      <c r="AE39" s="138">
        <f t="shared" si="2"/>
        <v>9.4745908699398473E-3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42697</v>
      </c>
      <c r="X40" s="41">
        <v>11.39</v>
      </c>
      <c r="Y40" s="41">
        <v>11.64</v>
      </c>
      <c r="Z40" s="41">
        <v>11.37</v>
      </c>
      <c r="AA40" s="41">
        <v>11.61</v>
      </c>
      <c r="AB40" s="104">
        <v>2702500</v>
      </c>
      <c r="AC40" s="9">
        <v>11.61</v>
      </c>
      <c r="AD40" s="2">
        <f t="shared" si="1"/>
        <v>0.27000000000000135</v>
      </c>
      <c r="AE40" s="138">
        <f t="shared" si="2"/>
        <v>1.1324041811846541E-2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42696</v>
      </c>
      <c r="X41" s="41">
        <v>11.63</v>
      </c>
      <c r="Y41" s="41">
        <v>11.69</v>
      </c>
      <c r="Z41" s="41">
        <v>11.33</v>
      </c>
      <c r="AA41" s="41">
        <v>11.48</v>
      </c>
      <c r="AB41" s="104">
        <v>4104100</v>
      </c>
      <c r="AC41" s="9">
        <v>11.48</v>
      </c>
      <c r="AD41" s="2">
        <f t="shared" si="1"/>
        <v>0.35999999999999943</v>
      </c>
      <c r="AE41" s="138">
        <f t="shared" si="2"/>
        <v>-2.297872340425533E-2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42695</v>
      </c>
      <c r="X42" s="41">
        <v>11.74</v>
      </c>
      <c r="Y42" s="41">
        <v>11.88</v>
      </c>
      <c r="Z42" s="41">
        <v>11.65</v>
      </c>
      <c r="AA42" s="41">
        <v>11.75</v>
      </c>
      <c r="AB42" s="104">
        <v>3562700</v>
      </c>
      <c r="AC42" s="9">
        <v>11.75</v>
      </c>
      <c r="AD42" s="2">
        <f t="shared" si="1"/>
        <v>0.23000000000000043</v>
      </c>
      <c r="AE42" s="138">
        <f t="shared" si="2"/>
        <v>1.0318142734307756E-2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13.277000000000001</v>
      </c>
      <c r="T43" s="108" t="s">
        <v>98</v>
      </c>
      <c r="U43" s="106">
        <v>12.19</v>
      </c>
      <c r="W43" s="123">
        <v>42692</v>
      </c>
      <c r="X43" s="41">
        <v>11.84</v>
      </c>
      <c r="Y43" s="41">
        <v>11.88</v>
      </c>
      <c r="Z43" s="41">
        <v>11.62</v>
      </c>
      <c r="AA43" s="41">
        <v>11.63</v>
      </c>
      <c r="AB43" s="104">
        <v>1899800</v>
      </c>
      <c r="AC43" s="9">
        <v>11.63</v>
      </c>
      <c r="AD43" s="2">
        <f t="shared" si="1"/>
        <v>0.26000000000000156</v>
      </c>
      <c r="AE43" s="138">
        <f t="shared" si="2"/>
        <v>-1.8565400843881807E-2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13.156300000000002</v>
      </c>
      <c r="T44" s="108" t="s">
        <v>99</v>
      </c>
      <c r="U44" s="106">
        <v>12.33</v>
      </c>
      <c r="W44" s="123">
        <v>42691</v>
      </c>
      <c r="X44" s="41">
        <v>11.63</v>
      </c>
      <c r="Y44" s="41">
        <v>11.95</v>
      </c>
      <c r="Z44" s="41">
        <v>11.61</v>
      </c>
      <c r="AA44" s="41">
        <v>11.85</v>
      </c>
      <c r="AB44" s="104">
        <v>3510900</v>
      </c>
      <c r="AC44" s="9">
        <v>11.85</v>
      </c>
      <c r="AD44" s="2">
        <f t="shared" si="1"/>
        <v>0.33999999999999986</v>
      </c>
      <c r="AE44" s="138">
        <f t="shared" si="2"/>
        <v>2.155172413793105E-2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13.035600000000001</v>
      </c>
      <c r="Q45" s="2"/>
      <c r="T45" s="108" t="s">
        <v>100</v>
      </c>
      <c r="U45" s="106" t="s">
        <v>129</v>
      </c>
      <c r="W45" s="123">
        <v>42690</v>
      </c>
      <c r="X45" s="41">
        <v>11.75</v>
      </c>
      <c r="Y45" s="41">
        <v>11.89</v>
      </c>
      <c r="Z45" s="41">
        <v>11.54</v>
      </c>
      <c r="AA45" s="41">
        <v>11.6</v>
      </c>
      <c r="AB45" s="104">
        <v>2373600</v>
      </c>
      <c r="AC45" s="9">
        <v>11.6</v>
      </c>
      <c r="AD45" s="2">
        <f t="shared" si="1"/>
        <v>0.35000000000000142</v>
      </c>
      <c r="AE45" s="138">
        <f t="shared" si="2"/>
        <v>-1.4443500424808797E-2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12.914900000000001</v>
      </c>
      <c r="Q46" s="2"/>
      <c r="T46" s="108" t="s">
        <v>101</v>
      </c>
      <c r="U46" s="106" t="s">
        <v>129</v>
      </c>
      <c r="W46" s="123">
        <v>42689</v>
      </c>
      <c r="X46" s="41">
        <v>11.63</v>
      </c>
      <c r="Y46" s="41">
        <v>11.81</v>
      </c>
      <c r="Z46" s="41">
        <v>11.55</v>
      </c>
      <c r="AA46" s="41">
        <v>11.77</v>
      </c>
      <c r="AB46" s="104">
        <v>2707300</v>
      </c>
      <c r="AC46" s="9">
        <v>11.77</v>
      </c>
      <c r="AD46" s="2">
        <f t="shared" si="1"/>
        <v>0.25999999999999979</v>
      </c>
      <c r="AE46" s="138">
        <f t="shared" si="2"/>
        <v>1.6407599309153698E-2</v>
      </c>
    </row>
    <row r="47" spans="2:41" x14ac:dyDescent="0.25">
      <c r="B47" s="64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12.794200000000002</v>
      </c>
      <c r="Q47" s="2"/>
      <c r="T47" s="108" t="s">
        <v>102</v>
      </c>
      <c r="U47" s="106">
        <v>15.63</v>
      </c>
      <c r="W47" s="123">
        <v>42688</v>
      </c>
      <c r="X47" s="41">
        <v>11.23</v>
      </c>
      <c r="Y47" s="41">
        <v>11.66</v>
      </c>
      <c r="Z47" s="41">
        <v>11.23</v>
      </c>
      <c r="AA47" s="41">
        <v>11.58</v>
      </c>
      <c r="AB47" s="104">
        <v>3683500</v>
      </c>
      <c r="AC47" s="9">
        <v>11.58</v>
      </c>
      <c r="AD47" s="2">
        <f t="shared" si="1"/>
        <v>0.42999999999999972</v>
      </c>
      <c r="AE47" s="138">
        <f t="shared" si="2"/>
        <v>3.0249110320284656E-2</v>
      </c>
    </row>
    <row r="48" spans="2:41" x14ac:dyDescent="0.25">
      <c r="B48" s="64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12.673500000000001</v>
      </c>
      <c r="Q48" s="2"/>
      <c r="T48" s="108" t="s">
        <v>103</v>
      </c>
      <c r="U48" s="106">
        <v>1.16245</v>
      </c>
      <c r="W48" s="123">
        <v>42685</v>
      </c>
      <c r="X48" s="41">
        <v>11.19</v>
      </c>
      <c r="Y48" s="41">
        <v>11.4</v>
      </c>
      <c r="Z48" s="41">
        <v>11.03</v>
      </c>
      <c r="AA48" s="41">
        <v>11.24</v>
      </c>
      <c r="AB48" s="104">
        <v>3559000</v>
      </c>
      <c r="AC48" s="9">
        <v>11.24</v>
      </c>
      <c r="AD48" s="2">
        <f t="shared" si="1"/>
        <v>0.37000000000000099</v>
      </c>
      <c r="AE48" s="138">
        <f t="shared" si="2"/>
        <v>3.5714285714285587E-3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12.552800000000001</v>
      </c>
      <c r="Q49" s="2"/>
      <c r="T49" s="108" t="s">
        <v>122</v>
      </c>
      <c r="U49" s="106" t="s">
        <v>340</v>
      </c>
      <c r="W49" s="123">
        <v>42684</v>
      </c>
      <c r="X49" s="41">
        <v>11.74</v>
      </c>
      <c r="Y49" s="41">
        <v>11.83</v>
      </c>
      <c r="Z49" s="41">
        <v>11.18</v>
      </c>
      <c r="AA49" s="41">
        <v>11.2</v>
      </c>
      <c r="AB49" s="104">
        <v>6096600</v>
      </c>
      <c r="AC49" s="9">
        <v>11.2</v>
      </c>
      <c r="AD49" s="2">
        <f t="shared" si="1"/>
        <v>0.65000000000000036</v>
      </c>
      <c r="AE49" s="138">
        <f t="shared" si="2"/>
        <v>-4.5996592844974482E-2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12.4321</v>
      </c>
      <c r="Q50" s="2"/>
      <c r="T50" s="108"/>
      <c r="U50" s="106"/>
      <c r="W50" s="123">
        <v>42683</v>
      </c>
      <c r="X50" s="41">
        <v>11.55</v>
      </c>
      <c r="Y50" s="41">
        <v>12.13</v>
      </c>
      <c r="Z50" s="41">
        <v>11.5</v>
      </c>
      <c r="AA50" s="41">
        <v>11.74</v>
      </c>
      <c r="AB50" s="104">
        <v>9746100</v>
      </c>
      <c r="AC50" s="9">
        <v>11.74</v>
      </c>
      <c r="AD50" s="2">
        <f t="shared" si="1"/>
        <v>0.63000000000000078</v>
      </c>
      <c r="AE50" s="138">
        <f t="shared" si="2"/>
        <v>2.4432809773123898E-2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12.311400000000001</v>
      </c>
      <c r="Q51" s="2"/>
      <c r="T51" s="108" t="s">
        <v>105</v>
      </c>
      <c r="U51" s="106" t="s">
        <v>513</v>
      </c>
      <c r="W51" s="123">
        <v>42682</v>
      </c>
      <c r="X51" s="41">
        <v>11.47</v>
      </c>
      <c r="Y51" s="41">
        <v>11.58</v>
      </c>
      <c r="Z51" s="41">
        <v>11.4</v>
      </c>
      <c r="AA51" s="41">
        <v>11.46</v>
      </c>
      <c r="AB51" s="104">
        <v>3855700</v>
      </c>
      <c r="AC51" s="9">
        <v>11.46</v>
      </c>
      <c r="AD51" s="2">
        <f t="shared" si="1"/>
        <v>0.17999999999999972</v>
      </c>
      <c r="AE51" s="138">
        <f t="shared" si="2"/>
        <v>-8.7183958151693108E-4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12.1907</v>
      </c>
      <c r="Q52" s="2"/>
      <c r="T52" s="108" t="s">
        <v>106</v>
      </c>
      <c r="U52" s="106" t="s">
        <v>356</v>
      </c>
      <c r="W52" s="123">
        <v>42681</v>
      </c>
      <c r="X52" s="41">
        <v>11.32</v>
      </c>
      <c r="Y52" s="41">
        <v>11.47</v>
      </c>
      <c r="Z52" s="41">
        <v>11.28</v>
      </c>
      <c r="AA52" s="41">
        <v>11.47</v>
      </c>
      <c r="AB52" s="104">
        <v>4340100</v>
      </c>
      <c r="AC52" s="9">
        <v>11.47</v>
      </c>
      <c r="AD52" s="2">
        <f t="shared" si="1"/>
        <v>0.19000000000000128</v>
      </c>
      <c r="AE52" s="138">
        <f t="shared" si="2"/>
        <v>2.9622980251346576E-2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12.07</v>
      </c>
      <c r="Q53" s="2"/>
      <c r="T53" s="108" t="s">
        <v>107</v>
      </c>
      <c r="U53" s="107">
        <v>4522912</v>
      </c>
      <c r="W53" s="123">
        <v>42678</v>
      </c>
      <c r="X53" s="41">
        <v>11.29</v>
      </c>
      <c r="Y53" s="41">
        <v>11.53</v>
      </c>
      <c r="Z53" s="41">
        <v>11.14</v>
      </c>
      <c r="AA53" s="41">
        <v>11.14</v>
      </c>
      <c r="AB53" s="104">
        <v>5341800</v>
      </c>
      <c r="AC53" s="9">
        <v>11.14</v>
      </c>
      <c r="AD53" s="2">
        <f t="shared" si="1"/>
        <v>0.38999999999999879</v>
      </c>
      <c r="AE53" s="138">
        <f t="shared" si="2"/>
        <v>3.6036036036037888E-3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11.949300000000001</v>
      </c>
      <c r="Q54" s="2"/>
      <c r="T54" s="108" t="s">
        <v>110</v>
      </c>
      <c r="U54" s="107">
        <v>4813880</v>
      </c>
      <c r="W54" s="123">
        <v>42677</v>
      </c>
      <c r="X54" s="41">
        <v>10.88</v>
      </c>
      <c r="Y54" s="41">
        <v>11.28</v>
      </c>
      <c r="Z54" s="41">
        <v>10.85</v>
      </c>
      <c r="AA54" s="41">
        <v>11.1</v>
      </c>
      <c r="AB54" s="104">
        <v>5443300</v>
      </c>
      <c r="AC54" s="9">
        <v>11.1</v>
      </c>
      <c r="AD54" s="2">
        <f t="shared" si="1"/>
        <v>0.42999999999999972</v>
      </c>
      <c r="AE54" s="138">
        <f t="shared" si="2"/>
        <v>1.9283746556473691E-2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11.8286</v>
      </c>
      <c r="T55" s="108" t="s">
        <v>108</v>
      </c>
      <c r="U55" s="106" t="s">
        <v>514</v>
      </c>
      <c r="W55" s="123">
        <v>42676</v>
      </c>
      <c r="X55" s="41">
        <v>11.5</v>
      </c>
      <c r="Y55" s="41">
        <v>11.51</v>
      </c>
      <c r="Z55" s="41">
        <v>10.81</v>
      </c>
      <c r="AA55" s="41">
        <v>10.89</v>
      </c>
      <c r="AB55" s="104">
        <v>15762400</v>
      </c>
      <c r="AC55" s="9">
        <v>10.89</v>
      </c>
      <c r="AD55" s="2">
        <f t="shared" si="1"/>
        <v>0.69999999999999929</v>
      </c>
      <c r="AE55" s="138">
        <f t="shared" si="2"/>
        <v>-7.7118644067796671E-2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11.7079</v>
      </c>
      <c r="T56" s="108" t="s">
        <v>111</v>
      </c>
      <c r="U56" s="106">
        <v>241.4</v>
      </c>
      <c r="W56" s="123">
        <v>42675</v>
      </c>
      <c r="X56" s="41">
        <v>11.91</v>
      </c>
      <c r="Y56" s="41">
        <v>12</v>
      </c>
      <c r="Z56" s="41">
        <v>11.72</v>
      </c>
      <c r="AA56" s="41">
        <v>11.8</v>
      </c>
      <c r="AB56" s="104">
        <v>5303100</v>
      </c>
      <c r="AC56" s="9">
        <v>11.8</v>
      </c>
      <c r="AD56" s="2">
        <f t="shared" si="1"/>
        <v>0.27999999999999936</v>
      </c>
      <c r="AE56" s="138">
        <f t="shared" si="2"/>
        <v>-8.4033613445377853E-3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11.587199999999999</v>
      </c>
      <c r="T57" s="108" t="s">
        <v>112</v>
      </c>
      <c r="U57" s="106">
        <v>0.05</v>
      </c>
      <c r="W57" s="123">
        <v>42674</v>
      </c>
      <c r="X57" s="41">
        <v>11.77</v>
      </c>
      <c r="Y57" s="41">
        <v>12.02</v>
      </c>
      <c r="Z57" s="41">
        <v>11.75</v>
      </c>
      <c r="AA57" s="41">
        <v>11.9</v>
      </c>
      <c r="AB57" s="104">
        <v>8600700</v>
      </c>
      <c r="AC57" s="9">
        <v>11.9</v>
      </c>
      <c r="AD57" s="2">
        <f t="shared" si="1"/>
        <v>0.26999999999999957</v>
      </c>
      <c r="AE57" s="138">
        <f t="shared" si="2"/>
        <v>1.1904761904761862E-2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11.4665</v>
      </c>
      <c r="T58" s="108" t="s">
        <v>109</v>
      </c>
      <c r="U58" s="106" t="s">
        <v>123</v>
      </c>
      <c r="W58" s="123">
        <v>42671</v>
      </c>
      <c r="X58" s="41">
        <v>12.05</v>
      </c>
      <c r="Y58" s="41">
        <v>12.1</v>
      </c>
      <c r="Z58" s="41">
        <v>11.27</v>
      </c>
      <c r="AA58" s="41">
        <v>11.76</v>
      </c>
      <c r="AB58" s="104">
        <v>12747200</v>
      </c>
      <c r="AC58" s="9">
        <v>11.76</v>
      </c>
      <c r="AD58" s="2">
        <f t="shared" si="1"/>
        <v>0.83000000000000007</v>
      </c>
      <c r="AE58" s="138">
        <f t="shared" si="2"/>
        <v>-1.4249790444258115E-2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11.345799999999999</v>
      </c>
      <c r="W59" s="123">
        <v>42670</v>
      </c>
      <c r="X59" s="41">
        <v>11.92</v>
      </c>
      <c r="Y59" s="41">
        <v>12.03</v>
      </c>
      <c r="Z59" s="41">
        <v>11.82</v>
      </c>
      <c r="AA59" s="41">
        <v>11.93</v>
      </c>
      <c r="AB59" s="104">
        <v>5151000</v>
      </c>
      <c r="AC59" s="9">
        <v>11.93</v>
      </c>
      <c r="AD59" s="2">
        <f t="shared" si="1"/>
        <v>0.20999999999999908</v>
      </c>
      <c r="AE59" s="138">
        <f t="shared" si="2"/>
        <v>2.5210084033613356E-3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11.225100000000001</v>
      </c>
      <c r="W60" s="123">
        <v>42669</v>
      </c>
      <c r="X60" s="41">
        <v>12.03</v>
      </c>
      <c r="Y60" s="41">
        <v>12.09</v>
      </c>
      <c r="Z60" s="41">
        <v>11.79</v>
      </c>
      <c r="AA60" s="41">
        <v>11.9</v>
      </c>
      <c r="AB60" s="104">
        <v>7765300</v>
      </c>
      <c r="AC60" s="9">
        <v>11.9</v>
      </c>
      <c r="AD60" s="2">
        <f t="shared" si="1"/>
        <v>0.30000000000000071</v>
      </c>
      <c r="AE60" s="138">
        <f t="shared" si="2"/>
        <v>-2.1381578947368363E-2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11.1044</v>
      </c>
      <c r="W61" s="123">
        <v>42668</v>
      </c>
      <c r="X61" s="41">
        <v>12.41</v>
      </c>
      <c r="Y61" s="41">
        <v>12.51</v>
      </c>
      <c r="Z61" s="41">
        <v>12.15</v>
      </c>
      <c r="AA61" s="41">
        <v>12.16</v>
      </c>
      <c r="AB61" s="104">
        <v>6320400</v>
      </c>
      <c r="AC61" s="9">
        <v>12.16</v>
      </c>
      <c r="AD61" s="2">
        <f t="shared" si="1"/>
        <v>0.35999999999999943</v>
      </c>
      <c r="AE61" s="138">
        <f t="shared" si="2"/>
        <v>-2.0933977455716568E-2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10.983700000000001</v>
      </c>
      <c r="W62" s="123">
        <v>42667</v>
      </c>
      <c r="X62" s="41">
        <v>12.69</v>
      </c>
      <c r="Y62" s="41">
        <v>12.78</v>
      </c>
      <c r="Z62" s="41">
        <v>12.35</v>
      </c>
      <c r="AA62" s="41">
        <v>12.42</v>
      </c>
      <c r="AB62" s="104">
        <v>3620800</v>
      </c>
      <c r="AC62" s="9">
        <v>12.42</v>
      </c>
      <c r="AD62" s="2">
        <f t="shared" si="1"/>
        <v>0.42999999999999972</v>
      </c>
      <c r="AE62" s="138">
        <f t="shared" si="2"/>
        <v>-1.8957345971563955E-2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10.863000000000001</v>
      </c>
      <c r="W63" s="123">
        <v>42664</v>
      </c>
      <c r="X63" s="41">
        <v>12.85</v>
      </c>
      <c r="Y63" s="41">
        <v>13.05</v>
      </c>
      <c r="Z63" s="41">
        <v>12.66</v>
      </c>
      <c r="AA63" s="41">
        <v>12.66</v>
      </c>
      <c r="AB63" s="104">
        <v>3827600</v>
      </c>
      <c r="AC63" s="9">
        <v>12.66</v>
      </c>
      <c r="AD63" s="2">
        <f t="shared" si="1"/>
        <v>0.39000000000000057</v>
      </c>
      <c r="AE63" s="138">
        <f t="shared" si="2"/>
        <v>-2.4653312788906034E-2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42663</v>
      </c>
      <c r="X64" s="41">
        <v>13.04</v>
      </c>
      <c r="Y64" s="41">
        <v>13.12</v>
      </c>
      <c r="Z64" s="41">
        <v>12.85</v>
      </c>
      <c r="AA64" s="41">
        <v>12.98</v>
      </c>
      <c r="AB64" s="104">
        <v>2999400</v>
      </c>
      <c r="AC64" s="9">
        <v>12.98</v>
      </c>
      <c r="AD64" s="2">
        <f t="shared" si="1"/>
        <v>0.26999999999999957</v>
      </c>
      <c r="AE64" s="138">
        <f t="shared" si="2"/>
        <v>-6.8859984697781096E-3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42662</v>
      </c>
      <c r="X65" s="41">
        <v>12.88</v>
      </c>
      <c r="Y65" s="41">
        <v>13.14</v>
      </c>
      <c r="Z65" s="41">
        <v>12.82</v>
      </c>
      <c r="AA65" s="41">
        <v>13.07</v>
      </c>
      <c r="AB65" s="104">
        <v>2991000</v>
      </c>
      <c r="AC65" s="9">
        <v>13.07</v>
      </c>
      <c r="AD65" s="2">
        <f t="shared" si="1"/>
        <v>0.32000000000000028</v>
      </c>
      <c r="AE65" s="138">
        <f t="shared" si="2"/>
        <v>1.8706157443491911E-2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42661</v>
      </c>
      <c r="X66" s="41">
        <v>12.79</v>
      </c>
      <c r="Y66" s="41">
        <v>12.96</v>
      </c>
      <c r="Z66" s="41">
        <v>12.65</v>
      </c>
      <c r="AA66" s="41">
        <v>12.83</v>
      </c>
      <c r="AB66" s="104">
        <v>5691600</v>
      </c>
      <c r="AC66" s="9">
        <v>12.83</v>
      </c>
      <c r="AD66" s="2">
        <f t="shared" si="1"/>
        <v>0.3100000000000005</v>
      </c>
      <c r="AE66" s="138">
        <f t="shared" si="2"/>
        <v>1.5835312747426666E-2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42660</v>
      </c>
      <c r="X67" s="41">
        <v>12.86</v>
      </c>
      <c r="Y67" s="41">
        <v>12.98</v>
      </c>
      <c r="Z67" s="41">
        <v>12.61</v>
      </c>
      <c r="AA67" s="41">
        <v>12.63</v>
      </c>
      <c r="AB67" s="104">
        <v>3758700</v>
      </c>
      <c r="AC67" s="9">
        <v>12.63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5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5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298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321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392</v>
      </c>
    </row>
    <row r="225" spans="1:9" x14ac:dyDescent="0.25">
      <c r="A225" t="s">
        <v>456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83" priority="74">
      <formula>F12&gt;0</formula>
    </cfRule>
    <cfRule type="expression" dxfId="6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1" priority="67">
      <formula>F113&gt;0</formula>
    </cfRule>
    <cfRule type="expression" dxfId="680" priority="68">
      <formula>F113&lt;0</formula>
    </cfRule>
  </conditionalFormatting>
  <conditionalFormatting sqref="H113:H119">
    <cfRule type="expression" dxfId="679" priority="55">
      <formula>H113&gt;0</formula>
    </cfRule>
    <cfRule type="expression" dxfId="678" priority="56">
      <formula>H113&lt;0</formula>
    </cfRule>
  </conditionalFormatting>
  <conditionalFormatting sqref="H120">
    <cfRule type="expression" dxfId="677" priority="53">
      <formula>H120&gt;0</formula>
    </cfRule>
    <cfRule type="expression" dxfId="676" priority="54">
      <formula>H120&lt;0</formula>
    </cfRule>
  </conditionalFormatting>
  <conditionalFormatting sqref="H121">
    <cfRule type="expression" dxfId="675" priority="51">
      <formula>H121&gt;0</formula>
    </cfRule>
    <cfRule type="expression" dxfId="674" priority="52">
      <formula>H121&lt;0</formula>
    </cfRule>
  </conditionalFormatting>
  <conditionalFormatting sqref="H122:H124">
    <cfRule type="expression" dxfId="673" priority="49">
      <formula>H122&gt;0</formula>
    </cfRule>
    <cfRule type="expression" dxfId="672" priority="50">
      <formula>H122&lt;0</formula>
    </cfRule>
  </conditionalFormatting>
  <conditionalFormatting sqref="H125">
    <cfRule type="expression" dxfId="671" priority="45">
      <formula>H125&gt;0</formula>
    </cfRule>
    <cfRule type="expression" dxfId="670" priority="46">
      <formula>H125&lt;0</formula>
    </cfRule>
  </conditionalFormatting>
  <conditionalFormatting sqref="Q7">
    <cfRule type="expression" dxfId="669" priority="39">
      <formula>Q7&gt;0</formula>
    </cfRule>
    <cfRule type="expression" dxfId="668" priority="40">
      <formula>Q7&lt;0</formula>
    </cfRule>
  </conditionalFormatting>
  <conditionalFormatting sqref="Q8">
    <cfRule type="expression" dxfId="667" priority="37">
      <formula>Q8&gt;0</formula>
    </cfRule>
    <cfRule type="expression" dxfId="666" priority="38">
      <formula>Q8&lt;0</formula>
    </cfRule>
  </conditionalFormatting>
  <conditionalFormatting sqref="F156:F167 H156:H167">
    <cfRule type="expression" dxfId="665" priority="35">
      <formula>F156&gt;0</formula>
    </cfRule>
    <cfRule type="expression" dxfId="664" priority="36">
      <formula>F156&lt;0</formula>
    </cfRule>
  </conditionalFormatting>
  <conditionalFormatting sqref="F172:F186 H172:H186">
    <cfRule type="expression" dxfId="663" priority="33">
      <formula>F172&gt;0</formula>
    </cfRule>
    <cfRule type="expression" dxfId="662" priority="34">
      <formula>F172&lt;0</formula>
    </cfRule>
  </conditionalFormatting>
  <conditionalFormatting sqref="F187:F195 H187:H195">
    <cfRule type="expression" dxfId="661" priority="31">
      <formula>F187&gt;0</formula>
    </cfRule>
    <cfRule type="expression" dxfId="660" priority="32">
      <formula>F187&lt;0</formula>
    </cfRule>
  </conditionalFormatting>
  <conditionalFormatting sqref="F130:F136 H130:H136">
    <cfRule type="expression" dxfId="659" priority="29">
      <formula>F130&gt;0</formula>
    </cfRule>
    <cfRule type="expression" dxfId="658" priority="30">
      <formula>F130&lt;0</formula>
    </cfRule>
  </conditionalFormatting>
  <conditionalFormatting sqref="H138:H141 F138:F141">
    <cfRule type="expression" dxfId="657" priority="27">
      <formula>F138&gt;0</formula>
    </cfRule>
    <cfRule type="expression" dxfId="656" priority="28">
      <formula>F138&lt;0</formula>
    </cfRule>
  </conditionalFormatting>
  <conditionalFormatting sqref="F215 H204:H207 H246:H249 F246:F249 H215 H220:H222 F220:F222 F224:F233 H224:H233">
    <cfRule type="expression" dxfId="655" priority="25">
      <formula>F204&gt;0</formula>
    </cfRule>
    <cfRule type="expression" dxfId="654" priority="26">
      <formula>F204&lt;0</formula>
    </cfRule>
  </conditionalFormatting>
  <conditionalFormatting sqref="F196:F207">
    <cfRule type="expression" dxfId="653" priority="23">
      <formula>F196&gt;0</formula>
    </cfRule>
    <cfRule type="expression" dxfId="652" priority="24">
      <formula>F196&lt;0</formula>
    </cfRule>
  </conditionalFormatting>
  <conditionalFormatting sqref="H196:H197">
    <cfRule type="expression" dxfId="651" priority="21">
      <formula>H196&gt;0</formula>
    </cfRule>
    <cfRule type="expression" dxfId="650" priority="22">
      <formula>H196&lt;0</formula>
    </cfRule>
  </conditionalFormatting>
  <conditionalFormatting sqref="H198">
    <cfRule type="expression" dxfId="649" priority="19">
      <formula>H198&gt;0</formula>
    </cfRule>
    <cfRule type="expression" dxfId="648" priority="20">
      <formula>H198&lt;0</formula>
    </cfRule>
  </conditionalFormatting>
  <conditionalFormatting sqref="H199">
    <cfRule type="expression" dxfId="647" priority="17">
      <formula>H199&gt;0</formula>
    </cfRule>
    <cfRule type="expression" dxfId="646" priority="18">
      <formula>H199&lt;0</formula>
    </cfRule>
  </conditionalFormatting>
  <conditionalFormatting sqref="H200:H202">
    <cfRule type="expression" dxfId="645" priority="15">
      <formula>H200&gt;0</formula>
    </cfRule>
    <cfRule type="expression" dxfId="644" priority="16">
      <formula>H200&lt;0</formula>
    </cfRule>
  </conditionalFormatting>
  <conditionalFormatting sqref="H203">
    <cfRule type="expression" dxfId="643" priority="13">
      <formula>H203&gt;0</formula>
    </cfRule>
    <cfRule type="expression" dxfId="642" priority="14">
      <formula>H203&lt;0</formula>
    </cfRule>
  </conditionalFormatting>
  <conditionalFormatting sqref="F234:F245 H234:H245">
    <cfRule type="expression" dxfId="641" priority="11">
      <formula>F234&gt;0</formula>
    </cfRule>
    <cfRule type="expression" dxfId="640" priority="12">
      <formula>F234&lt;0</formula>
    </cfRule>
  </conditionalFormatting>
  <conditionalFormatting sqref="F250:F264 H250:H264">
    <cfRule type="expression" dxfId="639" priority="9">
      <formula>F250&gt;0</formula>
    </cfRule>
    <cfRule type="expression" dxfId="638" priority="10">
      <formula>F250&lt;0</formula>
    </cfRule>
  </conditionalFormatting>
  <conditionalFormatting sqref="F265:F272 H265:H272">
    <cfRule type="expression" dxfId="637" priority="7">
      <formula>F265&gt;0</formula>
    </cfRule>
    <cfRule type="expression" dxfId="636" priority="8">
      <formula>F265&lt;0</formula>
    </cfRule>
  </conditionalFormatting>
  <conditionalFormatting sqref="F208:F214 H208:H214">
    <cfRule type="expression" dxfId="635" priority="5">
      <formula>F208&gt;0</formula>
    </cfRule>
    <cfRule type="expression" dxfId="634" priority="6">
      <formula>F208&lt;0</formula>
    </cfRule>
  </conditionalFormatting>
  <conditionalFormatting sqref="H216:H219 F216:F219">
    <cfRule type="expression" dxfId="633" priority="3">
      <formula>F216&gt;0</formula>
    </cfRule>
    <cfRule type="expression" dxfId="632" priority="4">
      <formula>F216&lt;0</formula>
    </cfRule>
  </conditionalFormatting>
  <conditionalFormatting sqref="H223 F223">
    <cfRule type="expression" dxfId="631" priority="1">
      <formula>F223&gt;0</formula>
    </cfRule>
    <cfRule type="expression" dxfId="630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96.03</v>
      </c>
      <c r="Y2" s="10">
        <v>96.93</v>
      </c>
      <c r="Z2" s="10">
        <v>95.02</v>
      </c>
      <c r="AA2" s="10">
        <v>95.51</v>
      </c>
      <c r="AB2" s="95">
        <v>1143300</v>
      </c>
      <c r="AC2" s="10">
        <v>95.51</v>
      </c>
      <c r="AD2" s="2">
        <f>Y2-Z2</f>
        <v>1.9100000000000108</v>
      </c>
      <c r="AE2" s="138">
        <f>AC2/AC3-1</f>
        <v>-8.1005296500156199E-3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95.51</v>
      </c>
      <c r="T3" s="1"/>
      <c r="W3" s="133">
        <v>42754</v>
      </c>
      <c r="X3" s="10">
        <v>95.92</v>
      </c>
      <c r="Y3" s="10">
        <v>96.72</v>
      </c>
      <c r="Z3" s="10">
        <v>94.85</v>
      </c>
      <c r="AA3" s="10">
        <v>96.29</v>
      </c>
      <c r="AB3" s="95">
        <v>2058800</v>
      </c>
      <c r="AC3" s="10">
        <v>96.29</v>
      </c>
      <c r="AD3" s="2">
        <f t="shared" ref="AD3:AD66" si="0">Y3-Z3</f>
        <v>1.8700000000000045</v>
      </c>
      <c r="AE3" s="138">
        <f t="shared" ref="AE3:AE66" si="1">AC3/AC4-1</f>
        <v>5.2197515398266781E-3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95.51</v>
      </c>
      <c r="R4" s="505">
        <v>-8.0999999999999996E-3</v>
      </c>
      <c r="T4" s="163"/>
      <c r="U4" s="1"/>
      <c r="W4" s="133">
        <v>42753</v>
      </c>
      <c r="X4" s="10">
        <v>97.2</v>
      </c>
      <c r="Y4" s="10">
        <v>97.4</v>
      </c>
      <c r="Z4" s="10">
        <v>95.69</v>
      </c>
      <c r="AA4" s="10">
        <v>95.79</v>
      </c>
      <c r="AB4" s="95">
        <v>1451000</v>
      </c>
      <c r="AC4" s="10">
        <v>95.79</v>
      </c>
      <c r="AD4" s="2">
        <f t="shared" si="0"/>
        <v>1.710000000000008</v>
      </c>
      <c r="AE4" s="138">
        <f t="shared" si="1"/>
        <v>-1.1251032204789291E-2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96.49</v>
      </c>
      <c r="Y5" s="10">
        <v>97.4</v>
      </c>
      <c r="Z5" s="10">
        <v>96.01</v>
      </c>
      <c r="AA5" s="10">
        <v>96.88</v>
      </c>
      <c r="AB5" s="95">
        <v>1525500</v>
      </c>
      <c r="AC5" s="10">
        <v>96.88</v>
      </c>
      <c r="AD5" s="2">
        <f t="shared" si="0"/>
        <v>1.3900000000000006</v>
      </c>
      <c r="AE5" s="138">
        <f t="shared" si="1"/>
        <v>-2.5738700710388196E-3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97.96</v>
      </c>
      <c r="Y6" s="10">
        <v>97.96</v>
      </c>
      <c r="Z6" s="10">
        <v>96.16</v>
      </c>
      <c r="AA6" s="10">
        <v>97.13</v>
      </c>
      <c r="AB6" s="95">
        <v>1806800</v>
      </c>
      <c r="AC6" s="10">
        <v>97.13</v>
      </c>
      <c r="AD6" s="2">
        <f t="shared" si="0"/>
        <v>1.7999999999999972</v>
      </c>
      <c r="AE6" s="138">
        <f t="shared" si="1"/>
        <v>-4.7135977046829369E-3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42747</v>
      </c>
      <c r="X7" s="10">
        <v>97.69</v>
      </c>
      <c r="Y7" s="10">
        <v>97.9</v>
      </c>
      <c r="Z7" s="10">
        <v>96.5</v>
      </c>
      <c r="AA7" s="10">
        <v>97.59</v>
      </c>
      <c r="AB7" s="95">
        <v>1411400</v>
      </c>
      <c r="AC7" s="10">
        <v>97.59</v>
      </c>
      <c r="AD7" s="2">
        <f t="shared" si="0"/>
        <v>1.4000000000000057</v>
      </c>
      <c r="AE7" s="138">
        <f t="shared" si="1"/>
        <v>-1.0745058286872777E-2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99.26</v>
      </c>
      <c r="Y8" s="10">
        <v>99.35</v>
      </c>
      <c r="Z8" s="10">
        <v>97.04</v>
      </c>
      <c r="AA8" s="10">
        <v>98.65</v>
      </c>
      <c r="AB8" s="95">
        <v>1488800</v>
      </c>
      <c r="AC8" s="10">
        <v>98.65</v>
      </c>
      <c r="AD8" s="2">
        <f t="shared" si="0"/>
        <v>2.3099999999999881</v>
      </c>
      <c r="AE8" s="138">
        <f t="shared" si="1"/>
        <v>-4.942505547710252E-3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97.96</v>
      </c>
      <c r="Y9" s="10">
        <v>99.7</v>
      </c>
      <c r="Z9" s="10">
        <v>97.95</v>
      </c>
      <c r="AA9" s="10">
        <v>99.14</v>
      </c>
      <c r="AB9" s="95">
        <v>1907400</v>
      </c>
      <c r="AC9" s="10">
        <v>99.14</v>
      </c>
      <c r="AD9" s="2">
        <f t="shared" si="0"/>
        <v>1.75</v>
      </c>
      <c r="AE9" s="138">
        <f t="shared" si="1"/>
        <v>1.2149055640632955E-2</v>
      </c>
    </row>
    <row r="10" spans="1:31" x14ac:dyDescent="0.25">
      <c r="G10" s="30"/>
      <c r="H10" s="72"/>
      <c r="O10" s="11" t="s">
        <v>214</v>
      </c>
      <c r="P10" s="34"/>
      <c r="Q10" s="2">
        <f>M71</f>
        <v>537.92000000000007</v>
      </c>
      <c r="W10" s="133">
        <v>42744</v>
      </c>
      <c r="X10" s="10">
        <v>97.57</v>
      </c>
      <c r="Y10" s="10">
        <v>98.63</v>
      </c>
      <c r="Z10" s="10">
        <v>97.33</v>
      </c>
      <c r="AA10" s="10">
        <v>97.95</v>
      </c>
      <c r="AB10" s="95">
        <v>1687800</v>
      </c>
      <c r="AC10" s="10">
        <v>97.95</v>
      </c>
      <c r="AD10" s="2">
        <f t="shared" si="0"/>
        <v>1.2999999999999972</v>
      </c>
      <c r="AE10" s="138">
        <f t="shared" si="1"/>
        <v>9.0656227464718242E-3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97.4</v>
      </c>
      <c r="Y11" s="10">
        <v>97.88</v>
      </c>
      <c r="Z11" s="10">
        <v>96.43</v>
      </c>
      <c r="AA11" s="10">
        <v>97.07</v>
      </c>
      <c r="AB11" s="95">
        <v>2974400</v>
      </c>
      <c r="AC11" s="10">
        <v>97.07</v>
      </c>
      <c r="AD11" s="2">
        <f t="shared" si="0"/>
        <v>1.4499999999999886</v>
      </c>
      <c r="AE11" s="138">
        <f t="shared" si="1"/>
        <v>-1.2346949274617547E-3</v>
      </c>
    </row>
    <row r="12" spans="1:31" x14ac:dyDescent="0.25">
      <c r="G12" s="30"/>
      <c r="H12" s="72"/>
      <c r="W12" s="133">
        <v>42740</v>
      </c>
      <c r="X12" s="10">
        <v>96.91</v>
      </c>
      <c r="Y12" s="10">
        <v>97.91</v>
      </c>
      <c r="Z12" s="10">
        <v>96.61</v>
      </c>
      <c r="AA12" s="10">
        <v>97.19</v>
      </c>
      <c r="AB12" s="95">
        <v>1534300</v>
      </c>
      <c r="AC12" s="10">
        <v>97.19</v>
      </c>
      <c r="AD12" s="2">
        <f t="shared" si="0"/>
        <v>1.2999999999999972</v>
      </c>
      <c r="AE12" s="138">
        <f t="shared" si="1"/>
        <v>6.7329604309094293E-3</v>
      </c>
    </row>
    <row r="13" spans="1:31" x14ac:dyDescent="0.25">
      <c r="G13" s="30"/>
      <c r="H13" s="72"/>
      <c r="W13" s="133">
        <v>42739</v>
      </c>
      <c r="X13" s="10">
        <v>95.52</v>
      </c>
      <c r="Y13" s="10">
        <v>97.29</v>
      </c>
      <c r="Z13" s="10">
        <v>94.88</v>
      </c>
      <c r="AA13" s="10">
        <v>96.54</v>
      </c>
      <c r="AB13" s="95">
        <v>2051600</v>
      </c>
      <c r="AC13" s="10">
        <v>96.54</v>
      </c>
      <c r="AD13" s="2">
        <f t="shared" si="0"/>
        <v>2.4100000000000108</v>
      </c>
      <c r="AE13" s="138">
        <f t="shared" si="1"/>
        <v>1.0678391959799027E-2</v>
      </c>
    </row>
    <row r="14" spans="1:31" x14ac:dyDescent="0.25">
      <c r="G14" s="30"/>
      <c r="H14" s="72"/>
      <c r="W14" s="133">
        <v>42738</v>
      </c>
      <c r="X14" s="10">
        <v>93.8</v>
      </c>
      <c r="Y14" s="10">
        <v>95.52</v>
      </c>
      <c r="Z14" s="10">
        <v>93.06</v>
      </c>
      <c r="AA14" s="10">
        <v>95.52</v>
      </c>
      <c r="AB14" s="95">
        <v>2166100</v>
      </c>
      <c r="AC14" s="10">
        <v>95.52</v>
      </c>
      <c r="AD14" s="2">
        <f t="shared" si="0"/>
        <v>2.4599999999999937</v>
      </c>
      <c r="AE14" s="138">
        <f t="shared" si="1"/>
        <v>1.9423692636072465E-2</v>
      </c>
    </row>
    <row r="15" spans="1:31" x14ac:dyDescent="0.25">
      <c r="G15" s="30"/>
      <c r="H15" s="72"/>
      <c r="W15" s="133">
        <v>42734</v>
      </c>
      <c r="X15" s="10">
        <v>93.89</v>
      </c>
      <c r="Y15" s="10">
        <v>94.58</v>
      </c>
      <c r="Z15" s="10">
        <v>93.35</v>
      </c>
      <c r="AA15" s="10">
        <v>93.7</v>
      </c>
      <c r="AB15" s="95">
        <v>1397500</v>
      </c>
      <c r="AC15" s="10">
        <v>93.7</v>
      </c>
      <c r="AD15" s="2">
        <f t="shared" si="0"/>
        <v>1.230000000000004</v>
      </c>
      <c r="AE15" s="138">
        <f t="shared" si="1"/>
        <v>-1.0671219720403968E-4</v>
      </c>
    </row>
    <row r="16" spans="1:31" x14ac:dyDescent="0.25">
      <c r="G16" s="30"/>
      <c r="H16" s="72"/>
      <c r="W16" s="133">
        <v>42733</v>
      </c>
      <c r="X16" s="10">
        <v>92.71</v>
      </c>
      <c r="Y16" s="10">
        <v>94.11</v>
      </c>
      <c r="Z16" s="10">
        <v>92.67</v>
      </c>
      <c r="AA16" s="10">
        <v>93.71</v>
      </c>
      <c r="AB16" s="95">
        <v>1330200</v>
      </c>
      <c r="AC16" s="10">
        <v>93.71</v>
      </c>
      <c r="AD16" s="2">
        <f t="shared" si="0"/>
        <v>1.4399999999999977</v>
      </c>
      <c r="AE16" s="138">
        <f t="shared" si="1"/>
        <v>1.0786322942508919E-2</v>
      </c>
    </row>
    <row r="17" spans="1:31" x14ac:dyDescent="0.25">
      <c r="G17" s="30"/>
      <c r="W17" s="133">
        <v>42732</v>
      </c>
      <c r="X17" s="10">
        <v>93.2</v>
      </c>
      <c r="Y17" s="10">
        <v>93.83</v>
      </c>
      <c r="Z17" s="10">
        <v>92.17</v>
      </c>
      <c r="AA17" s="10">
        <v>92.71</v>
      </c>
      <c r="AB17" s="95">
        <v>1606500</v>
      </c>
      <c r="AC17" s="10">
        <v>92.71</v>
      </c>
      <c r="AD17" s="2">
        <f t="shared" si="0"/>
        <v>1.6599999999999966</v>
      </c>
      <c r="AE17" s="138">
        <f t="shared" si="1"/>
        <v>-6.8559185859667915E-3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93.17</v>
      </c>
      <c r="Y18" s="10">
        <v>94.5</v>
      </c>
      <c r="Z18" s="10">
        <v>93.14</v>
      </c>
      <c r="AA18" s="10">
        <v>93.35</v>
      </c>
      <c r="AB18" s="95">
        <v>1352700</v>
      </c>
      <c r="AC18" s="10">
        <v>93.35</v>
      </c>
      <c r="AD18" s="2">
        <f t="shared" si="0"/>
        <v>1.3599999999999994</v>
      </c>
      <c r="AE18" s="138">
        <f t="shared" si="1"/>
        <v>3.7634408602149616E-3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91.72</v>
      </c>
      <c r="Y19" s="10">
        <v>93.35</v>
      </c>
      <c r="Z19" s="10">
        <v>91.52</v>
      </c>
      <c r="AA19" s="10">
        <v>93</v>
      </c>
      <c r="AB19" s="95">
        <v>1235100</v>
      </c>
      <c r="AC19" s="10">
        <v>93</v>
      </c>
      <c r="AD19" s="2">
        <f t="shared" si="0"/>
        <v>1.8299999999999983</v>
      </c>
      <c r="AE19" s="138">
        <f t="shared" si="1"/>
        <v>1.3071895424836555E-2</v>
      </c>
    </row>
    <row r="20" spans="1:31" x14ac:dyDescent="0.25">
      <c r="W20" s="133">
        <v>42726</v>
      </c>
      <c r="X20" s="10">
        <v>91.37</v>
      </c>
      <c r="Y20" s="10">
        <v>92.4</v>
      </c>
      <c r="Z20" s="10">
        <v>91.05</v>
      </c>
      <c r="AA20" s="10">
        <v>91.8</v>
      </c>
      <c r="AB20" s="95">
        <v>1598400</v>
      </c>
      <c r="AC20" s="10">
        <v>91.8</v>
      </c>
      <c r="AD20" s="2">
        <f t="shared" si="0"/>
        <v>1.3500000000000085</v>
      </c>
      <c r="AE20" s="138">
        <f t="shared" si="1"/>
        <v>4.0468117685659166E-3</v>
      </c>
    </row>
    <row r="21" spans="1:31" x14ac:dyDescent="0.25">
      <c r="W21" s="133">
        <v>42725</v>
      </c>
      <c r="X21" s="10">
        <v>90.59</v>
      </c>
      <c r="Y21" s="10">
        <v>92.04</v>
      </c>
      <c r="Z21" s="10">
        <v>90.44</v>
      </c>
      <c r="AA21" s="10">
        <v>91.43</v>
      </c>
      <c r="AB21" s="95">
        <v>1606700</v>
      </c>
      <c r="AC21" s="10">
        <v>91.43</v>
      </c>
      <c r="AD21" s="2">
        <f t="shared" si="0"/>
        <v>1.6000000000000085</v>
      </c>
      <c r="AE21" s="138">
        <f t="shared" si="1"/>
        <v>6.1626499394740186E-3</v>
      </c>
    </row>
    <row r="22" spans="1:31" x14ac:dyDescent="0.25">
      <c r="W22" s="133">
        <v>42724</v>
      </c>
      <c r="X22" s="10">
        <v>91.53</v>
      </c>
      <c r="Y22" s="10">
        <v>92.26</v>
      </c>
      <c r="Z22" s="10">
        <v>90.42</v>
      </c>
      <c r="AA22" s="10">
        <v>90.87</v>
      </c>
      <c r="AB22" s="95">
        <v>1628600</v>
      </c>
      <c r="AC22" s="10">
        <v>90.87</v>
      </c>
      <c r="AD22" s="2">
        <f t="shared" si="0"/>
        <v>1.8400000000000034</v>
      </c>
      <c r="AE22" s="138">
        <f t="shared" si="1"/>
        <v>-6.6681241801486157E-3</v>
      </c>
    </row>
    <row r="23" spans="1:31" x14ac:dyDescent="0.25">
      <c r="W23" s="133">
        <v>42723</v>
      </c>
      <c r="X23" s="10">
        <v>91.31</v>
      </c>
      <c r="Y23" s="10">
        <v>92.22</v>
      </c>
      <c r="Z23" s="10">
        <v>91.27</v>
      </c>
      <c r="AA23" s="10">
        <v>91.48</v>
      </c>
      <c r="AB23" s="95">
        <v>2222500</v>
      </c>
      <c r="AC23" s="10">
        <v>91.48</v>
      </c>
      <c r="AD23" s="2">
        <f t="shared" si="0"/>
        <v>0.95000000000000284</v>
      </c>
      <c r="AE23" s="138">
        <f t="shared" si="1"/>
        <v>9.8479045847477131E-4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91.26</v>
      </c>
      <c r="Y24" s="10">
        <v>92.25</v>
      </c>
      <c r="Z24" s="10">
        <v>90.8</v>
      </c>
      <c r="AA24" s="10">
        <v>91.39</v>
      </c>
      <c r="AB24" s="95">
        <v>3456600</v>
      </c>
      <c r="AC24" s="10">
        <v>91.39</v>
      </c>
      <c r="AD24" s="2">
        <f t="shared" si="0"/>
        <v>1.4500000000000028</v>
      </c>
      <c r="AE24" s="138">
        <f t="shared" si="1"/>
        <v>1.0057471264367734E-2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42719</v>
      </c>
      <c r="X25" s="10">
        <v>89.76</v>
      </c>
      <c r="Y25" s="10">
        <v>90.83</v>
      </c>
      <c r="Z25" s="10">
        <v>89.24</v>
      </c>
      <c r="AA25" s="10">
        <v>90.48</v>
      </c>
      <c r="AB25" s="95">
        <v>2222300</v>
      </c>
      <c r="AC25" s="10">
        <v>90.48</v>
      </c>
      <c r="AD25" s="2">
        <f t="shared" si="0"/>
        <v>1.5900000000000034</v>
      </c>
      <c r="AE25" s="138">
        <f t="shared" si="1"/>
        <v>7.3480293921177608E-3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42718</v>
      </c>
      <c r="X26" s="10">
        <v>89.75</v>
      </c>
      <c r="Y26" s="10">
        <v>92.29</v>
      </c>
      <c r="Z26" s="10">
        <v>89.33</v>
      </c>
      <c r="AA26" s="10">
        <v>89.82</v>
      </c>
      <c r="AB26" s="95">
        <v>2329400</v>
      </c>
      <c r="AC26" s="10">
        <v>89.82</v>
      </c>
      <c r="AD26" s="2">
        <f t="shared" si="0"/>
        <v>2.960000000000008</v>
      </c>
      <c r="AE26" s="138">
        <f t="shared" si="1"/>
        <v>5.0352467270895485E-3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42717</v>
      </c>
      <c r="X27" s="10">
        <v>88.43</v>
      </c>
      <c r="Y27" s="10">
        <v>91.1</v>
      </c>
      <c r="Z27" s="10">
        <v>87.56</v>
      </c>
      <c r="AA27" s="10">
        <v>89.37</v>
      </c>
      <c r="AB27" s="95">
        <v>2896800</v>
      </c>
      <c r="AC27" s="10">
        <v>89.37</v>
      </c>
      <c r="AD27" s="2">
        <f t="shared" si="0"/>
        <v>3.539999999999992</v>
      </c>
      <c r="AE27" s="138">
        <f t="shared" si="1"/>
        <v>4.9477116833465118E-3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42716</v>
      </c>
      <c r="X28" s="10">
        <v>90.05</v>
      </c>
      <c r="Y28" s="10">
        <v>91.41</v>
      </c>
      <c r="Z28" s="10">
        <v>88.54</v>
      </c>
      <c r="AA28" s="10">
        <v>88.93</v>
      </c>
      <c r="AB28" s="95">
        <v>2720600</v>
      </c>
      <c r="AC28" s="10">
        <v>88.93</v>
      </c>
      <c r="AD28" s="2">
        <f t="shared" si="0"/>
        <v>2.8699999999999903</v>
      </c>
      <c r="AE28" s="138">
        <f t="shared" si="1"/>
        <v>-1.5934491534801309E-2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89.53</v>
      </c>
      <c r="Y29" s="10">
        <v>92.98</v>
      </c>
      <c r="Z29" s="10">
        <v>89.3</v>
      </c>
      <c r="AA29" s="10">
        <v>90.37</v>
      </c>
      <c r="AB29" s="95">
        <v>4170500</v>
      </c>
      <c r="AC29" s="10">
        <v>90.37</v>
      </c>
      <c r="AD29" s="2">
        <f t="shared" si="0"/>
        <v>3.6800000000000068</v>
      </c>
      <c r="AE29" s="138">
        <f t="shared" si="1"/>
        <v>1.1982082866741406E-2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85.55</v>
      </c>
      <c r="Y30" s="10">
        <v>91.34</v>
      </c>
      <c r="Z30" s="10">
        <v>85.27</v>
      </c>
      <c r="AA30" s="10">
        <v>89.3</v>
      </c>
      <c r="AB30" s="95">
        <v>6108600</v>
      </c>
      <c r="AC30" s="10">
        <v>89.3</v>
      </c>
      <c r="AD30" s="2">
        <f t="shared" si="0"/>
        <v>6.0700000000000074</v>
      </c>
      <c r="AE30" s="138">
        <f t="shared" si="1"/>
        <v>6.652334885942901E-2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82.99</v>
      </c>
      <c r="Y31" s="10">
        <v>83.75</v>
      </c>
      <c r="Z31" s="10">
        <v>81.900000000000006</v>
      </c>
      <c r="AA31" s="10">
        <v>83.73</v>
      </c>
      <c r="AB31" s="95">
        <v>2536800</v>
      </c>
      <c r="AC31" s="10">
        <v>83.73</v>
      </c>
      <c r="AD31" s="2">
        <f t="shared" si="0"/>
        <v>1.8499999999999943</v>
      </c>
      <c r="AE31" s="138">
        <f t="shared" si="1"/>
        <v>6.1283345349676388E-3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83.15</v>
      </c>
      <c r="Y32" s="10">
        <v>83.92</v>
      </c>
      <c r="Z32" s="10">
        <v>81.849999999999994</v>
      </c>
      <c r="AA32" s="10">
        <v>83.22</v>
      </c>
      <c r="AB32" s="95">
        <v>2878200</v>
      </c>
      <c r="AC32" s="10">
        <v>83.22</v>
      </c>
      <c r="AD32" s="2">
        <f t="shared" si="0"/>
        <v>2.0700000000000074</v>
      </c>
      <c r="AE32" s="138">
        <f t="shared" si="1"/>
        <v>8.8495575221239076E-3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83.78</v>
      </c>
      <c r="Y33" s="10">
        <v>83.94</v>
      </c>
      <c r="Z33" s="10">
        <v>82.41</v>
      </c>
      <c r="AA33" s="10">
        <v>82.49</v>
      </c>
      <c r="AB33" s="95">
        <v>1974200</v>
      </c>
      <c r="AC33" s="10">
        <v>82.49</v>
      </c>
      <c r="AD33" s="2">
        <f t="shared" si="0"/>
        <v>1.5300000000000011</v>
      </c>
      <c r="AE33" s="138">
        <f t="shared" si="1"/>
        <v>-1.0317936412717499E-2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81.44</v>
      </c>
      <c r="Y34" s="10">
        <v>84.66</v>
      </c>
      <c r="Z34" s="10">
        <v>81.25</v>
      </c>
      <c r="AA34" s="10">
        <v>83.35</v>
      </c>
      <c r="AB34" s="95">
        <v>2322800</v>
      </c>
      <c r="AC34" s="10">
        <v>83.35</v>
      </c>
      <c r="AD34" s="2">
        <f t="shared" si="0"/>
        <v>3.4099999999999966</v>
      </c>
      <c r="AE34" s="138">
        <f t="shared" si="1"/>
        <v>2.3075978887934223E-2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82.8</v>
      </c>
      <c r="Y35" s="10">
        <v>83.1</v>
      </c>
      <c r="Z35" s="10">
        <v>81.12</v>
      </c>
      <c r="AA35" s="10">
        <v>81.47</v>
      </c>
      <c r="AB35" s="95">
        <v>2468900</v>
      </c>
      <c r="AC35" s="10">
        <v>81.47</v>
      </c>
      <c r="AD35" s="2">
        <f t="shared" si="0"/>
        <v>1.9799999999999898</v>
      </c>
      <c r="AE35" s="138">
        <f t="shared" si="1"/>
        <v>-1.6656608328304068E-2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84.24</v>
      </c>
      <c r="Y36" s="10">
        <v>84.25</v>
      </c>
      <c r="Z36" s="10">
        <v>82.84</v>
      </c>
      <c r="AA36" s="10">
        <v>82.85</v>
      </c>
      <c r="AB36" s="95">
        <v>2765300</v>
      </c>
      <c r="AC36" s="10">
        <v>82.85</v>
      </c>
      <c r="AD36" s="2">
        <f t="shared" si="0"/>
        <v>1.4099999999999966</v>
      </c>
      <c r="AE36" s="138">
        <f t="shared" si="1"/>
        <v>-1.2514898688915532E-2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84.56</v>
      </c>
      <c r="Y37" s="10">
        <v>85.45</v>
      </c>
      <c r="Z37" s="10">
        <v>83.77</v>
      </c>
      <c r="AA37" s="10">
        <v>83.9</v>
      </c>
      <c r="AB37" s="95">
        <v>2768000</v>
      </c>
      <c r="AC37" s="10">
        <v>83.9</v>
      </c>
      <c r="AD37" s="2">
        <f t="shared" si="0"/>
        <v>1.6800000000000068</v>
      </c>
      <c r="AE37" s="138">
        <f t="shared" si="1"/>
        <v>-4.7449584816131596E-3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85.41</v>
      </c>
      <c r="Y38" s="10">
        <v>85.59</v>
      </c>
      <c r="Z38" s="10">
        <v>84.01</v>
      </c>
      <c r="AA38" s="10">
        <v>84.3</v>
      </c>
      <c r="AB38" s="95">
        <v>3076300</v>
      </c>
      <c r="AC38" s="10">
        <v>84.3</v>
      </c>
      <c r="AD38" s="2">
        <f t="shared" si="0"/>
        <v>1.5799999999999983</v>
      </c>
      <c r="AE38" s="138">
        <f t="shared" si="1"/>
        <v>-1.7482517482517501E-2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86.86</v>
      </c>
      <c r="Y39" s="10">
        <v>86.87</v>
      </c>
      <c r="Z39" s="10">
        <v>85.31</v>
      </c>
      <c r="AA39" s="10">
        <v>85.8</v>
      </c>
      <c r="AB39" s="95">
        <v>2022300</v>
      </c>
      <c r="AC39" s="10">
        <v>85.8</v>
      </c>
      <c r="AD39" s="2">
        <f t="shared" si="0"/>
        <v>1.5600000000000023</v>
      </c>
      <c r="AE39" s="138">
        <f t="shared" si="1"/>
        <v>-1.2203545935988935E-2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85.01</v>
      </c>
      <c r="Y40" s="10">
        <v>86.93</v>
      </c>
      <c r="Z40" s="10">
        <v>84.51</v>
      </c>
      <c r="AA40" s="10">
        <v>86.86</v>
      </c>
      <c r="AB40" s="95">
        <v>2208200</v>
      </c>
      <c r="AC40" s="10">
        <v>86.86</v>
      </c>
      <c r="AD40" s="2">
        <f t="shared" si="0"/>
        <v>2.4200000000000017</v>
      </c>
      <c r="AE40" s="138">
        <f t="shared" si="1"/>
        <v>2.1401693320790116E-2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105.06100000000001</v>
      </c>
      <c r="Q41" s="2"/>
      <c r="W41" s="133">
        <v>42696</v>
      </c>
      <c r="X41" s="10">
        <v>88</v>
      </c>
      <c r="Y41" s="10">
        <v>88</v>
      </c>
      <c r="Z41" s="10">
        <v>83.42</v>
      </c>
      <c r="AA41" s="10">
        <v>85.04</v>
      </c>
      <c r="AB41" s="95">
        <v>4187700</v>
      </c>
      <c r="AC41" s="10">
        <v>85.04</v>
      </c>
      <c r="AD41" s="2">
        <f t="shared" si="0"/>
        <v>4.5799999999999983</v>
      </c>
      <c r="AE41" s="138">
        <f t="shared" si="1"/>
        <v>-4.663677130044841E-2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104.10590000000002</v>
      </c>
      <c r="Q42" s="2"/>
      <c r="T42" s="91" t="s">
        <v>113</v>
      </c>
      <c r="W42" s="133">
        <v>42695</v>
      </c>
      <c r="X42" s="10">
        <v>89.05</v>
      </c>
      <c r="Y42" s="10">
        <v>90.11</v>
      </c>
      <c r="Z42" s="10">
        <v>88.78</v>
      </c>
      <c r="AA42" s="10">
        <v>89.2</v>
      </c>
      <c r="AB42" s="95">
        <v>1452300</v>
      </c>
      <c r="AC42" s="10">
        <v>89.2</v>
      </c>
      <c r="AD42" s="2">
        <f t="shared" si="0"/>
        <v>1.3299999999999983</v>
      </c>
      <c r="AE42" s="138">
        <f t="shared" si="1"/>
        <v>1.9094687184095793E-3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103.15080000000002</v>
      </c>
      <c r="Q43" s="2"/>
      <c r="T43" s="128" t="s">
        <v>98</v>
      </c>
      <c r="U43" s="129">
        <v>96.29</v>
      </c>
      <c r="W43" s="133">
        <v>42692</v>
      </c>
      <c r="X43" s="10">
        <v>90.81</v>
      </c>
      <c r="Y43" s="10">
        <v>90.99</v>
      </c>
      <c r="Z43" s="10">
        <v>88.81</v>
      </c>
      <c r="AA43" s="10">
        <v>89.03</v>
      </c>
      <c r="AB43" s="95">
        <v>1714800</v>
      </c>
      <c r="AC43" s="10">
        <v>89.03</v>
      </c>
      <c r="AD43" s="2">
        <f t="shared" si="0"/>
        <v>2.1799999999999926</v>
      </c>
      <c r="AE43" s="138">
        <f t="shared" si="1"/>
        <v>-1.8628747795414458E-2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102.19570000000002</v>
      </c>
      <c r="Q44" s="2"/>
      <c r="T44" s="93" t="s">
        <v>99</v>
      </c>
      <c r="U44" s="130">
        <v>96.03</v>
      </c>
      <c r="W44" s="133">
        <v>42691</v>
      </c>
      <c r="X44" s="10">
        <v>89.38</v>
      </c>
      <c r="Y44" s="10">
        <v>90.83</v>
      </c>
      <c r="Z44" s="10">
        <v>89.01</v>
      </c>
      <c r="AA44" s="10">
        <v>90.72</v>
      </c>
      <c r="AB44" s="95">
        <v>1780500</v>
      </c>
      <c r="AC44" s="10">
        <v>90.72</v>
      </c>
      <c r="AD44" s="2">
        <f t="shared" si="0"/>
        <v>1.8199999999999932</v>
      </c>
      <c r="AE44" s="138">
        <f t="shared" si="1"/>
        <v>1.7839111410299591E-2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101.24060000000001</v>
      </c>
      <c r="Q45" s="2"/>
      <c r="T45" s="93" t="s">
        <v>100</v>
      </c>
      <c r="U45" s="130" t="s">
        <v>129</v>
      </c>
      <c r="W45" s="133">
        <v>42690</v>
      </c>
      <c r="X45" s="10">
        <v>88.85</v>
      </c>
      <c r="Y45" s="10">
        <v>89.72</v>
      </c>
      <c r="Z45" s="10">
        <v>88.18</v>
      </c>
      <c r="AA45" s="10">
        <v>89.13</v>
      </c>
      <c r="AB45" s="95">
        <v>1301400</v>
      </c>
      <c r="AC45" s="10">
        <v>89.13</v>
      </c>
      <c r="AD45" s="2">
        <f t="shared" si="0"/>
        <v>1.539999999999992</v>
      </c>
      <c r="AE45" s="138">
        <f t="shared" si="1"/>
        <v>2.4744123270723506E-3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100.28550000000001</v>
      </c>
      <c r="Q46" s="2"/>
      <c r="T46" s="93" t="s">
        <v>101</v>
      </c>
      <c r="U46" s="130" t="s">
        <v>129</v>
      </c>
      <c r="W46" s="133">
        <v>42689</v>
      </c>
      <c r="X46" s="10">
        <v>87.55</v>
      </c>
      <c r="Y46" s="10">
        <v>89.63</v>
      </c>
      <c r="Z46" s="10">
        <v>87.01</v>
      </c>
      <c r="AA46" s="10">
        <v>88.91</v>
      </c>
      <c r="AB46" s="95">
        <v>2252800</v>
      </c>
      <c r="AC46" s="10">
        <v>88.91</v>
      </c>
      <c r="AD46" s="2">
        <f t="shared" si="0"/>
        <v>2.6199999999999903</v>
      </c>
      <c r="AE46" s="138">
        <f t="shared" si="1"/>
        <v>2.6792932209261933E-2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99.330400000000012</v>
      </c>
      <c r="Q47" s="2"/>
      <c r="T47" s="93" t="s">
        <v>102</v>
      </c>
      <c r="U47" s="130">
        <v>116.24</v>
      </c>
      <c r="W47" s="133">
        <v>42688</v>
      </c>
      <c r="X47" s="10">
        <v>90.72</v>
      </c>
      <c r="Y47" s="10">
        <v>91.25</v>
      </c>
      <c r="Z47" s="10">
        <v>86.54</v>
      </c>
      <c r="AA47" s="10">
        <v>86.59</v>
      </c>
      <c r="AB47" s="95">
        <v>4298500</v>
      </c>
      <c r="AC47" s="10">
        <v>86.59</v>
      </c>
      <c r="AD47" s="2">
        <f t="shared" si="0"/>
        <v>4.7099999999999937</v>
      </c>
      <c r="AE47" s="138">
        <f t="shared" si="1"/>
        <v>-4.8566091638281517E-2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98.37530000000001</v>
      </c>
      <c r="Q48" s="2"/>
      <c r="T48" s="93" t="s">
        <v>103</v>
      </c>
      <c r="U48" s="130">
        <v>0.90350399999999997</v>
      </c>
      <c r="W48" s="133">
        <v>42685</v>
      </c>
      <c r="X48" s="10">
        <v>92.77</v>
      </c>
      <c r="Y48" s="10">
        <v>92.95</v>
      </c>
      <c r="Z48" s="10">
        <v>90.7</v>
      </c>
      <c r="AA48" s="10">
        <v>91.01</v>
      </c>
      <c r="AB48" s="95">
        <v>1599800</v>
      </c>
      <c r="AC48" s="10">
        <v>91.01</v>
      </c>
      <c r="AD48" s="2">
        <f t="shared" si="0"/>
        <v>2.25</v>
      </c>
      <c r="AE48" s="138">
        <f t="shared" si="1"/>
        <v>-1.9816908992999371E-2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97.420200000000008</v>
      </c>
      <c r="Q49" s="2"/>
      <c r="T49" s="93" t="s">
        <v>104</v>
      </c>
      <c r="U49" s="130" t="s">
        <v>429</v>
      </c>
      <c r="W49" s="133">
        <v>42684</v>
      </c>
      <c r="X49" s="10">
        <v>93.42</v>
      </c>
      <c r="Y49" s="10">
        <v>93.86</v>
      </c>
      <c r="Z49" s="10">
        <v>92.16</v>
      </c>
      <c r="AA49" s="10">
        <v>92.85</v>
      </c>
      <c r="AB49" s="95">
        <v>2801000</v>
      </c>
      <c r="AC49" s="10">
        <v>92.85</v>
      </c>
      <c r="AD49" s="2">
        <f t="shared" si="0"/>
        <v>1.7000000000000028</v>
      </c>
      <c r="AE49" s="138">
        <f t="shared" si="1"/>
        <v>4.3266630611140666E-3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96.465100000000007</v>
      </c>
      <c r="Q50" s="2"/>
      <c r="T50" s="93"/>
      <c r="U50" s="130"/>
      <c r="W50" s="133">
        <v>42683</v>
      </c>
      <c r="X50" s="10">
        <v>93.39</v>
      </c>
      <c r="Y50" s="10">
        <v>93.89</v>
      </c>
      <c r="Z50" s="10">
        <v>88.8</v>
      </c>
      <c r="AA50" s="10">
        <v>92.45</v>
      </c>
      <c r="AB50" s="95">
        <v>2430400</v>
      </c>
      <c r="AC50" s="10">
        <v>92.45</v>
      </c>
      <c r="AD50" s="2">
        <f t="shared" si="0"/>
        <v>5.0900000000000034</v>
      </c>
      <c r="AE50" s="138">
        <f t="shared" si="1"/>
        <v>1.1598643177590517E-2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95.51</v>
      </c>
      <c r="Q51" s="2"/>
      <c r="T51" s="93" t="s">
        <v>105</v>
      </c>
      <c r="U51" s="130" t="s">
        <v>515</v>
      </c>
      <c r="W51" s="133">
        <v>42682</v>
      </c>
      <c r="X51" s="10">
        <v>91.53</v>
      </c>
      <c r="Y51" s="10">
        <v>92.32</v>
      </c>
      <c r="Z51" s="10">
        <v>91.08</v>
      </c>
      <c r="AA51" s="10">
        <v>91.39</v>
      </c>
      <c r="AB51" s="95">
        <v>1649000</v>
      </c>
      <c r="AC51" s="10">
        <v>91.39</v>
      </c>
      <c r="AD51" s="2">
        <f t="shared" si="0"/>
        <v>1.2399999999999949</v>
      </c>
      <c r="AE51" s="138">
        <f t="shared" si="1"/>
        <v>5.4740529888319678E-4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94.554900000000004</v>
      </c>
      <c r="Q52" s="2"/>
      <c r="T52" s="93" t="s">
        <v>106</v>
      </c>
      <c r="U52" s="130" t="s">
        <v>443</v>
      </c>
      <c r="W52" s="133">
        <v>42681</v>
      </c>
      <c r="X52" s="10">
        <v>91.11</v>
      </c>
      <c r="Y52" s="10">
        <v>92.23</v>
      </c>
      <c r="Z52" s="10">
        <v>90.7</v>
      </c>
      <c r="AA52" s="10">
        <v>91.34</v>
      </c>
      <c r="AB52" s="95">
        <v>1671000</v>
      </c>
      <c r="AC52" s="10">
        <v>91.34</v>
      </c>
      <c r="AD52" s="2">
        <f t="shared" si="0"/>
        <v>1.5300000000000011</v>
      </c>
      <c r="AE52" s="138">
        <f t="shared" si="1"/>
        <v>1.9078433560191899E-2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93.599800000000002</v>
      </c>
      <c r="Q53" s="2"/>
      <c r="T53" s="93" t="s">
        <v>107</v>
      </c>
      <c r="U53" s="131">
        <v>1159416</v>
      </c>
      <c r="W53" s="133">
        <v>42678</v>
      </c>
      <c r="X53" s="10">
        <v>89.26</v>
      </c>
      <c r="Y53" s="10">
        <v>91.34</v>
      </c>
      <c r="Z53" s="10">
        <v>89.17</v>
      </c>
      <c r="AA53" s="10">
        <v>89.63</v>
      </c>
      <c r="AB53" s="95">
        <v>1853900</v>
      </c>
      <c r="AC53" s="10">
        <v>89.63</v>
      </c>
      <c r="AD53" s="2">
        <f t="shared" si="0"/>
        <v>2.1700000000000017</v>
      </c>
      <c r="AE53" s="138">
        <f t="shared" si="1"/>
        <v>3.6954087346023901E-3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92.6447</v>
      </c>
      <c r="T54" s="93" t="s">
        <v>110</v>
      </c>
      <c r="U54" s="131">
        <v>2680950</v>
      </c>
      <c r="W54" s="133">
        <v>42677</v>
      </c>
      <c r="X54" s="10">
        <v>89.24</v>
      </c>
      <c r="Y54" s="10">
        <v>90.95</v>
      </c>
      <c r="Z54" s="10">
        <v>89</v>
      </c>
      <c r="AA54" s="10">
        <v>89.3</v>
      </c>
      <c r="AB54" s="95">
        <v>3464000</v>
      </c>
      <c r="AC54" s="10">
        <v>89.3</v>
      </c>
      <c r="AD54" s="2">
        <f t="shared" si="0"/>
        <v>1.9500000000000028</v>
      </c>
      <c r="AE54" s="138">
        <f t="shared" si="1"/>
        <v>6.6508849058730668E-3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91.689599999999999</v>
      </c>
      <c r="T55" s="93" t="s">
        <v>108</v>
      </c>
      <c r="U55" s="130" t="s">
        <v>516</v>
      </c>
      <c r="W55" s="133">
        <v>42676</v>
      </c>
      <c r="X55" s="10">
        <v>92.18</v>
      </c>
      <c r="Y55" s="10">
        <v>92.22</v>
      </c>
      <c r="Z55" s="10">
        <v>88.69</v>
      </c>
      <c r="AA55" s="10">
        <v>88.71</v>
      </c>
      <c r="AB55" s="95">
        <v>3631200</v>
      </c>
      <c r="AC55" s="10">
        <v>88.71</v>
      </c>
      <c r="AD55" s="2">
        <f t="shared" si="0"/>
        <v>3.5300000000000011</v>
      </c>
      <c r="AE55" s="138">
        <f t="shared" si="1"/>
        <v>-3.5760869565217512E-2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90.734499999999997</v>
      </c>
      <c r="T56" s="93" t="s">
        <v>111</v>
      </c>
      <c r="U56" s="130">
        <v>37.75</v>
      </c>
      <c r="W56" s="133">
        <v>42675</v>
      </c>
      <c r="X56" s="10">
        <v>95.5</v>
      </c>
      <c r="Y56" s="10">
        <v>95.73</v>
      </c>
      <c r="Z56" s="10">
        <v>91.57</v>
      </c>
      <c r="AA56" s="10">
        <v>92</v>
      </c>
      <c r="AB56" s="95">
        <v>3392300</v>
      </c>
      <c r="AC56" s="10">
        <v>92</v>
      </c>
      <c r="AD56" s="2">
        <f t="shared" si="0"/>
        <v>4.1600000000000108</v>
      </c>
      <c r="AE56" s="138">
        <f t="shared" si="1"/>
        <v>-3.3816425120772986E-2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89.779399999999995</v>
      </c>
      <c r="T57" s="93" t="s">
        <v>112</v>
      </c>
      <c r="U57" s="130">
        <v>2.5299999999999998</v>
      </c>
      <c r="W57" s="133">
        <v>42674</v>
      </c>
      <c r="X57" s="10">
        <v>94.46</v>
      </c>
      <c r="Y57" s="10">
        <v>95.49</v>
      </c>
      <c r="Z57" s="10">
        <v>92.91</v>
      </c>
      <c r="AA57" s="10">
        <v>95.22</v>
      </c>
      <c r="AB57" s="95">
        <v>4863600</v>
      </c>
      <c r="AC57" s="10">
        <v>95.22</v>
      </c>
      <c r="AD57" s="2">
        <f t="shared" si="0"/>
        <v>2.5799999999999983</v>
      </c>
      <c r="AE57" s="138">
        <f t="shared" si="1"/>
        <v>-9.7753743760399248E-3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88.824300000000008</v>
      </c>
      <c r="T58" s="93" t="s">
        <v>109</v>
      </c>
      <c r="U58" s="130" t="s">
        <v>123</v>
      </c>
      <c r="W58" s="133">
        <v>42671</v>
      </c>
      <c r="X58" s="10">
        <v>92.36</v>
      </c>
      <c r="Y58" s="10">
        <v>96.8</v>
      </c>
      <c r="Z58" s="10">
        <v>92.05</v>
      </c>
      <c r="AA58" s="10">
        <v>96.16</v>
      </c>
      <c r="AB58" s="95">
        <v>4749100</v>
      </c>
      <c r="AC58" s="10">
        <v>96.16</v>
      </c>
      <c r="AD58" s="2">
        <f t="shared" si="0"/>
        <v>4.75</v>
      </c>
      <c r="AE58" s="138">
        <f t="shared" si="1"/>
        <v>4.2950108459869796E-2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87.869200000000006</v>
      </c>
      <c r="W59" s="133">
        <v>42670</v>
      </c>
      <c r="X59" s="10">
        <v>95.2</v>
      </c>
      <c r="Y59" s="10">
        <v>95.5</v>
      </c>
      <c r="Z59" s="10">
        <v>91.32</v>
      </c>
      <c r="AA59" s="10">
        <v>92.2</v>
      </c>
      <c r="AB59" s="95">
        <v>4984100</v>
      </c>
      <c r="AC59" s="10">
        <v>92.2</v>
      </c>
      <c r="AD59" s="2">
        <f t="shared" si="0"/>
        <v>4.1800000000000068</v>
      </c>
      <c r="AE59" s="138">
        <f t="shared" si="1"/>
        <v>-2.1750663129973424E-2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86.914100000000005</v>
      </c>
      <c r="W60" s="133">
        <v>42669</v>
      </c>
      <c r="X60" s="10">
        <v>99.3</v>
      </c>
      <c r="Y60" s="10">
        <v>100.86</v>
      </c>
      <c r="Z60" s="10">
        <v>94.25</v>
      </c>
      <c r="AA60" s="10">
        <v>94.25</v>
      </c>
      <c r="AB60" s="95">
        <v>16796600</v>
      </c>
      <c r="AC60" s="10">
        <v>94.25</v>
      </c>
      <c r="AD60" s="2">
        <f t="shared" si="0"/>
        <v>6.6099999999999994</v>
      </c>
      <c r="AE60" s="138">
        <f t="shared" si="1"/>
        <v>-0.17091836734693877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85.959000000000003</v>
      </c>
      <c r="W61" s="133">
        <v>42668</v>
      </c>
      <c r="X61" s="10">
        <v>117.01</v>
      </c>
      <c r="Y61" s="10">
        <v>117.01</v>
      </c>
      <c r="Z61" s="10">
        <v>113.5</v>
      </c>
      <c r="AA61" s="10">
        <v>113.68</v>
      </c>
      <c r="AB61" s="95">
        <v>3975500</v>
      </c>
      <c r="AC61" s="10">
        <v>113.68</v>
      </c>
      <c r="AD61" s="2">
        <f t="shared" si="0"/>
        <v>3.5100000000000051</v>
      </c>
      <c r="AE61" s="138">
        <f t="shared" si="1"/>
        <v>-2.8625138853285437E-2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118.24</v>
      </c>
      <c r="Y62" s="10">
        <v>118.56</v>
      </c>
      <c r="Z62" s="10">
        <v>116.92</v>
      </c>
      <c r="AA62" s="10">
        <v>117.03</v>
      </c>
      <c r="AB62" s="95">
        <v>1763200</v>
      </c>
      <c r="AC62" s="10">
        <v>117.03</v>
      </c>
      <c r="AD62" s="2">
        <f t="shared" si="0"/>
        <v>1.6400000000000006</v>
      </c>
      <c r="AE62" s="138">
        <f t="shared" si="1"/>
        <v>-5.5234534330388385E-3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42664</v>
      </c>
      <c r="X63" s="10">
        <v>117.03</v>
      </c>
      <c r="Y63" s="10">
        <v>118.17</v>
      </c>
      <c r="Z63" s="10">
        <v>116.56</v>
      </c>
      <c r="AA63" s="10">
        <v>117.68</v>
      </c>
      <c r="AB63" s="95">
        <v>1284400</v>
      </c>
      <c r="AC63" s="10">
        <v>117.68</v>
      </c>
      <c r="AD63" s="2">
        <f t="shared" si="0"/>
        <v>1.6099999999999994</v>
      </c>
      <c r="AE63" s="138">
        <f t="shared" si="1"/>
        <v>-1.5272357033768724E-3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42663</v>
      </c>
      <c r="X64" s="10">
        <v>117.45</v>
      </c>
      <c r="Y64" s="10">
        <v>119</v>
      </c>
      <c r="Z64" s="10">
        <v>117.11</v>
      </c>
      <c r="AA64" s="10">
        <v>117.86</v>
      </c>
      <c r="AB64" s="95">
        <v>1711000</v>
      </c>
      <c r="AC64" s="10">
        <v>117.86</v>
      </c>
      <c r="AD64" s="2">
        <f t="shared" si="0"/>
        <v>1.8900000000000006</v>
      </c>
      <c r="AE64" s="138">
        <f t="shared" si="1"/>
        <v>1.6998130205676532E-3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42662</v>
      </c>
      <c r="X65" s="10">
        <v>117.79</v>
      </c>
      <c r="Y65" s="10">
        <v>118.87</v>
      </c>
      <c r="Z65" s="10">
        <v>117.62</v>
      </c>
      <c r="AA65" s="10">
        <v>117.66</v>
      </c>
      <c r="AB65" s="95">
        <v>1367100</v>
      </c>
      <c r="AC65" s="10">
        <v>117.66</v>
      </c>
      <c r="AD65" s="2">
        <f t="shared" si="0"/>
        <v>1.25</v>
      </c>
      <c r="AE65" s="138">
        <f t="shared" si="1"/>
        <v>-4.736931145322254E-3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42661</v>
      </c>
      <c r="X66" s="10">
        <v>116.54</v>
      </c>
      <c r="Y66" s="10">
        <v>118.5</v>
      </c>
      <c r="Z66" s="10">
        <v>116.29</v>
      </c>
      <c r="AA66" s="10">
        <v>118.22</v>
      </c>
      <c r="AB66" s="95">
        <v>1481100</v>
      </c>
      <c r="AC66" s="10">
        <v>118.22</v>
      </c>
      <c r="AD66" s="2">
        <f t="shared" si="0"/>
        <v>2.2099999999999937</v>
      </c>
      <c r="AE66" s="138">
        <f t="shared" si="1"/>
        <v>2.3106880138468178E-2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42660</v>
      </c>
      <c r="X67" s="10">
        <v>115.88</v>
      </c>
      <c r="Y67" s="10">
        <v>116.38</v>
      </c>
      <c r="Z67" s="10">
        <v>114.87</v>
      </c>
      <c r="AA67" s="10">
        <v>115.55</v>
      </c>
      <c r="AB67" s="95">
        <v>1875000</v>
      </c>
      <c r="AC67" s="10">
        <v>115.55</v>
      </c>
      <c r="AD67" s="2">
        <f>Y67-Z67</f>
        <v>1.5099999999999909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349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9" priority="9">
      <formula>F33&gt;0</formula>
    </cfRule>
    <cfRule type="expression" dxfId="628" priority="10">
      <formula>F33&lt;0</formula>
    </cfRule>
  </conditionalFormatting>
  <conditionalFormatting sqref="Q7">
    <cfRule type="expression" dxfId="627" priority="7">
      <formula>Q7&gt;0</formula>
    </cfRule>
    <cfRule type="expression" dxfId="626" priority="8">
      <formula>Q7&lt;0</formula>
    </cfRule>
  </conditionalFormatting>
  <conditionalFormatting sqref="Q8">
    <cfRule type="expression" dxfId="625" priority="5">
      <formula>Q8&gt;0</formula>
    </cfRule>
    <cfRule type="expression" dxfId="624" priority="6">
      <formula>Q8&lt;0</formula>
    </cfRule>
  </conditionalFormatting>
  <conditionalFormatting sqref="F25:F32">
    <cfRule type="expression" dxfId="623" priority="3">
      <formula>F25&gt;0</formula>
    </cfRule>
    <cfRule type="expression" dxfId="622" priority="4">
      <formula>F25&lt;0</formula>
    </cfRule>
  </conditionalFormatting>
  <conditionalFormatting sqref="H25:H32">
    <cfRule type="expression" dxfId="621" priority="1">
      <formula>H25&gt;0</formula>
    </cfRule>
    <cfRule type="expression" dxfId="620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42755</v>
      </c>
      <c r="X2" s="142">
        <v>53.22</v>
      </c>
      <c r="Y2" s="142">
        <v>53.35</v>
      </c>
      <c r="Z2" s="10">
        <v>52.9</v>
      </c>
      <c r="AA2" s="10">
        <v>53.2</v>
      </c>
      <c r="AB2" s="95">
        <v>7697000</v>
      </c>
      <c r="AC2" s="10">
        <v>53.2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42754</v>
      </c>
      <c r="X3" s="10">
        <v>53.84</v>
      </c>
      <c r="Y3" s="10">
        <v>53.94</v>
      </c>
      <c r="Z3" s="10">
        <v>52.89</v>
      </c>
      <c r="AA3" s="10">
        <v>52.93</v>
      </c>
      <c r="AB3" s="95">
        <v>8239700</v>
      </c>
      <c r="AC3" s="10">
        <v>52.93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53.2</v>
      </c>
      <c r="R4" s="505">
        <v>5.1000000000000004E-3</v>
      </c>
      <c r="T4" s="1"/>
      <c r="W4" s="133">
        <v>42753</v>
      </c>
      <c r="X4" s="10">
        <v>53.86</v>
      </c>
      <c r="Y4" s="10">
        <v>53.89</v>
      </c>
      <c r="Z4" s="10">
        <v>52.86</v>
      </c>
      <c r="AA4" s="10">
        <v>53.27</v>
      </c>
      <c r="AB4" s="95">
        <v>6717400</v>
      </c>
      <c r="AC4" s="10">
        <v>53.27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1064</v>
      </c>
      <c r="W5" s="133">
        <v>42752</v>
      </c>
      <c r="X5" s="10">
        <v>53.4</v>
      </c>
      <c r="Y5" s="10">
        <v>53.95</v>
      </c>
      <c r="Z5" s="10">
        <v>53.01</v>
      </c>
      <c r="AA5" s="10">
        <v>53.65</v>
      </c>
      <c r="AB5" s="95">
        <v>9885000</v>
      </c>
      <c r="AC5" s="10">
        <v>53.65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42748</v>
      </c>
      <c r="X6" s="10">
        <v>52.59</v>
      </c>
      <c r="Y6" s="10">
        <v>52.93</v>
      </c>
      <c r="Z6" s="10">
        <v>52.23</v>
      </c>
      <c r="AA6" s="10">
        <v>52.92</v>
      </c>
      <c r="AB6" s="95">
        <v>6657000</v>
      </c>
      <c r="AC6" s="10">
        <v>52.92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364.62000000000126</v>
      </c>
      <c r="R7">
        <v>20</v>
      </c>
      <c r="W7" s="133">
        <v>42747</v>
      </c>
      <c r="X7" s="10">
        <v>52.51</v>
      </c>
      <c r="Y7" s="10">
        <v>52.69</v>
      </c>
      <c r="Z7" s="10">
        <v>52.16</v>
      </c>
      <c r="AA7" s="10">
        <v>52.4</v>
      </c>
      <c r="AB7" s="95">
        <v>7254100</v>
      </c>
      <c r="AC7" s="10">
        <v>52.4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10.400000000000091</v>
      </c>
      <c r="W8" s="133">
        <v>42746</v>
      </c>
      <c r="X8" s="10">
        <v>53.12</v>
      </c>
      <c r="Y8" s="10">
        <v>53.29</v>
      </c>
      <c r="Z8" s="10">
        <v>52.67</v>
      </c>
      <c r="AA8" s="10">
        <v>52.69</v>
      </c>
      <c r="AB8" s="95">
        <v>8096300</v>
      </c>
      <c r="AC8" s="10">
        <v>52.69</v>
      </c>
      <c r="AE8" s="138"/>
      <c r="AL8" s="234"/>
      <c r="AO8" s="234"/>
      <c r="AP8" s="234"/>
    </row>
    <row r="9" spans="1:42" x14ac:dyDescent="0.25">
      <c r="H9" s="72"/>
      <c r="O9" s="11" t="s">
        <v>215</v>
      </c>
      <c r="Q9" s="138">
        <f>IF(Q2=0, 0, Q8/Q6)</f>
        <v>9.8709187547457219E-3</v>
      </c>
      <c r="W9" s="133">
        <v>42745</v>
      </c>
      <c r="X9" s="10">
        <v>53.55</v>
      </c>
      <c r="Y9" s="10">
        <v>53.73</v>
      </c>
      <c r="Z9" s="10">
        <v>53.11</v>
      </c>
      <c r="AA9" s="10">
        <v>53.11</v>
      </c>
      <c r="AB9" s="95">
        <v>7992600</v>
      </c>
      <c r="AC9" s="10">
        <v>53.11</v>
      </c>
      <c r="AE9" s="138"/>
    </row>
    <row r="10" spans="1:42" x14ac:dyDescent="0.25">
      <c r="H10" s="72"/>
      <c r="O10" s="11" t="s">
        <v>214</v>
      </c>
      <c r="P10" s="34"/>
      <c r="Q10" s="2">
        <f>M63 + M84</f>
        <v>354.22000000000116</v>
      </c>
      <c r="T10" s="11"/>
      <c r="W10" s="133">
        <v>42744</v>
      </c>
      <c r="X10" s="10">
        <v>53.96</v>
      </c>
      <c r="Y10" s="10">
        <v>53.99</v>
      </c>
      <c r="Z10" s="10">
        <v>53.22</v>
      </c>
      <c r="AA10" s="10">
        <v>53.38</v>
      </c>
      <c r="AB10" s="95">
        <v>8724800</v>
      </c>
      <c r="AC10" s="10">
        <v>53.38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T11" s="1"/>
      <c r="W11" s="133">
        <v>42741</v>
      </c>
      <c r="X11" s="10">
        <v>53.09</v>
      </c>
      <c r="Y11" s="10">
        <v>54.09</v>
      </c>
      <c r="Z11" s="10">
        <v>52.98</v>
      </c>
      <c r="AA11" s="10">
        <v>53.91</v>
      </c>
      <c r="AB11" s="95">
        <v>12411900</v>
      </c>
      <c r="AC11" s="10">
        <v>53.91</v>
      </c>
      <c r="AE11" s="138"/>
    </row>
    <row r="12" spans="1:42" x14ac:dyDescent="0.25">
      <c r="H12" s="72"/>
      <c r="W12" s="133">
        <v>42740</v>
      </c>
      <c r="X12" s="10">
        <v>52.92</v>
      </c>
      <c r="Y12" s="10">
        <v>53.1</v>
      </c>
      <c r="Z12" s="10">
        <v>52.44</v>
      </c>
      <c r="AA12" s="10">
        <v>53.06</v>
      </c>
      <c r="AB12" s="95">
        <v>8631200</v>
      </c>
      <c r="AC12" s="10">
        <v>53.06</v>
      </c>
      <c r="AE12" s="138"/>
      <c r="AL12" s="234"/>
      <c r="AO12" s="234"/>
    </row>
    <row r="13" spans="1:42" x14ac:dyDescent="0.25">
      <c r="H13" s="72"/>
      <c r="T13" s="1"/>
      <c r="W13" s="133">
        <v>42739</v>
      </c>
      <c r="X13" s="10">
        <v>52.23</v>
      </c>
      <c r="Y13" s="10">
        <v>53.35</v>
      </c>
      <c r="Z13" s="10">
        <v>52.09</v>
      </c>
      <c r="AA13" s="10">
        <v>53.07</v>
      </c>
      <c r="AB13" s="95">
        <v>13542000</v>
      </c>
      <c r="AC13" s="10">
        <v>53.07</v>
      </c>
      <c r="AE13" s="138"/>
    </row>
    <row r="14" spans="1:42" x14ac:dyDescent="0.25">
      <c r="H14" s="72"/>
      <c r="W14" s="133">
        <v>42738</v>
      </c>
      <c r="X14" s="10">
        <v>51.99</v>
      </c>
      <c r="Y14" s="10">
        <v>52.5</v>
      </c>
      <c r="Z14" s="10">
        <v>51.77</v>
      </c>
      <c r="AA14" s="10">
        <v>51.98</v>
      </c>
      <c r="AB14" s="95">
        <v>13228600</v>
      </c>
      <c r="AC14" s="10">
        <v>51.98</v>
      </c>
      <c r="AE14" s="138"/>
      <c r="AL14" s="234"/>
      <c r="AO14" s="234"/>
      <c r="AP14" s="234"/>
    </row>
    <row r="15" spans="1:42" x14ac:dyDescent="0.25">
      <c r="H15" s="72"/>
      <c r="W15" s="133">
        <v>42734</v>
      </c>
      <c r="X15" s="10">
        <v>51.1</v>
      </c>
      <c r="Y15" s="10">
        <v>51.33</v>
      </c>
      <c r="Z15" s="10">
        <v>50.7</v>
      </c>
      <c r="AA15" s="10">
        <v>50.83</v>
      </c>
      <c r="AB15" s="95">
        <v>7345200</v>
      </c>
      <c r="AC15" s="10">
        <v>50.83</v>
      </c>
      <c r="AE15" s="138"/>
    </row>
    <row r="16" spans="1:42" x14ac:dyDescent="0.25">
      <c r="H16" s="72"/>
      <c r="O16" s="2"/>
      <c r="P16" s="2"/>
      <c r="Q16" s="2"/>
      <c r="T16" s="69"/>
      <c r="W16" s="133">
        <v>42733</v>
      </c>
      <c r="X16" s="10">
        <v>51</v>
      </c>
      <c r="Y16" s="10">
        <v>51.24</v>
      </c>
      <c r="Z16" s="10">
        <v>50.88</v>
      </c>
      <c r="AA16" s="10">
        <v>51.06</v>
      </c>
      <c r="AB16" s="95">
        <v>4659600</v>
      </c>
      <c r="AC16" s="10">
        <v>51.06</v>
      </c>
      <c r="AE16" s="138"/>
    </row>
    <row r="17" spans="1:41" x14ac:dyDescent="0.25">
      <c r="H17" s="72"/>
      <c r="O17" s="2"/>
      <c r="P17" s="2"/>
      <c r="Q17" s="2"/>
      <c r="W17" s="133">
        <v>42732</v>
      </c>
      <c r="X17" s="10">
        <v>51.31</v>
      </c>
      <c r="Y17" s="10">
        <v>51.5</v>
      </c>
      <c r="Z17" s="10">
        <v>50.87</v>
      </c>
      <c r="AA17" s="10">
        <v>51.02</v>
      </c>
      <c r="AB17" s="95">
        <v>6255600</v>
      </c>
      <c r="AC17" s="10">
        <v>51.02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42731</v>
      </c>
      <c r="X18" s="10">
        <v>51.8</v>
      </c>
      <c r="Y18" s="10">
        <v>52.25</v>
      </c>
      <c r="Z18" s="10">
        <v>51.2</v>
      </c>
      <c r="AA18" s="10">
        <v>51.29</v>
      </c>
      <c r="AB18" s="95">
        <v>8089700</v>
      </c>
      <c r="AC18" s="10">
        <v>51.29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42727</v>
      </c>
      <c r="X19" s="10">
        <v>51.99</v>
      </c>
      <c r="Y19" s="10">
        <v>52.35</v>
      </c>
      <c r="Z19" s="10">
        <v>51.67</v>
      </c>
      <c r="AA19" s="10">
        <v>51.91</v>
      </c>
      <c r="AB19" s="95">
        <v>9335800</v>
      </c>
      <c r="AC19" s="10">
        <v>51.91</v>
      </c>
      <c r="AE19" s="138"/>
    </row>
    <row r="20" spans="1:41" x14ac:dyDescent="0.25">
      <c r="O20" s="2"/>
      <c r="P20" s="2"/>
      <c r="Q20" s="2"/>
      <c r="W20" s="133">
        <v>42726</v>
      </c>
      <c r="X20" s="10">
        <v>52.8</v>
      </c>
      <c r="Y20" s="10">
        <v>53</v>
      </c>
      <c r="Z20" s="10">
        <v>52.03</v>
      </c>
      <c r="AA20" s="10">
        <v>52.14</v>
      </c>
      <c r="AB20" s="95">
        <v>11791500</v>
      </c>
      <c r="AC20" s="10">
        <v>52.14</v>
      </c>
      <c r="AE20" s="138"/>
    </row>
    <row r="21" spans="1:41" x14ac:dyDescent="0.25">
      <c r="O21" s="2"/>
      <c r="P21" s="2"/>
      <c r="Q21" s="2"/>
      <c r="W21" s="133">
        <v>42725</v>
      </c>
      <c r="X21" s="10">
        <v>52.9</v>
      </c>
      <c r="Y21" s="10">
        <v>53.35</v>
      </c>
      <c r="Z21" s="10">
        <v>51.55</v>
      </c>
      <c r="AA21" s="10">
        <v>52.3</v>
      </c>
      <c r="AB21" s="95">
        <v>23192700</v>
      </c>
      <c r="AC21" s="10">
        <v>52.3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156</v>
      </c>
      <c r="O22" s="2"/>
      <c r="P22" s="2"/>
      <c r="Q22" s="2"/>
      <c r="W22" s="133">
        <v>42724</v>
      </c>
      <c r="X22" s="10">
        <v>51.06</v>
      </c>
      <c r="Y22" s="10">
        <v>51.99</v>
      </c>
      <c r="Z22" s="10">
        <v>50.75</v>
      </c>
      <c r="AA22" s="10">
        <v>51.79</v>
      </c>
      <c r="AB22" s="95">
        <v>12709800</v>
      </c>
      <c r="AC22" s="10">
        <v>51.79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42723</v>
      </c>
      <c r="X23" s="10">
        <v>50.91</v>
      </c>
      <c r="Y23" s="10">
        <v>51.36</v>
      </c>
      <c r="Z23" s="10">
        <v>50.48</v>
      </c>
      <c r="AA23" s="10">
        <v>50.85</v>
      </c>
      <c r="AB23" s="95">
        <v>9312400</v>
      </c>
      <c r="AC23" s="10">
        <v>50.85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42720</v>
      </c>
      <c r="X24" s="10">
        <v>51.6</v>
      </c>
      <c r="Y24" s="10">
        <v>51.64</v>
      </c>
      <c r="Z24" s="10">
        <v>50.67</v>
      </c>
      <c r="AA24" s="10">
        <v>50.92</v>
      </c>
      <c r="AB24" s="95">
        <v>12847200</v>
      </c>
      <c r="AC24" s="10">
        <v>50.92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42719</v>
      </c>
      <c r="X25" s="10">
        <v>52</v>
      </c>
      <c r="Y25" s="10">
        <v>52.04</v>
      </c>
      <c r="Z25" s="10">
        <v>51.09</v>
      </c>
      <c r="AA25" s="10">
        <v>51.29</v>
      </c>
      <c r="AB25" s="95">
        <v>9544000</v>
      </c>
      <c r="AC25" s="10">
        <v>51.29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42718</v>
      </c>
      <c r="X26" s="10">
        <v>52.24</v>
      </c>
      <c r="Y26" s="10">
        <v>52.34</v>
      </c>
      <c r="Z26" s="10">
        <v>51.59</v>
      </c>
      <c r="AA26" s="10">
        <v>51.79</v>
      </c>
      <c r="AB26" s="95">
        <v>7865800</v>
      </c>
      <c r="AC26" s="10">
        <v>51.79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42717</v>
      </c>
      <c r="X27" s="10">
        <v>51.83</v>
      </c>
      <c r="Y27" s="10">
        <v>53.22</v>
      </c>
      <c r="Z27" s="10">
        <v>51.83</v>
      </c>
      <c r="AA27" s="10">
        <v>52.3</v>
      </c>
      <c r="AB27" s="95">
        <v>11321800</v>
      </c>
      <c r="AC27" s="10">
        <v>52.3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42716</v>
      </c>
      <c r="X28" s="10">
        <v>51.5</v>
      </c>
      <c r="Y28" s="10">
        <v>51.9</v>
      </c>
      <c r="Z28" s="10">
        <v>50.94</v>
      </c>
      <c r="AA28" s="10">
        <v>51.54</v>
      </c>
      <c r="AB28" s="95">
        <v>11452800</v>
      </c>
      <c r="AC28" s="10">
        <v>51.54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42713</v>
      </c>
      <c r="X29" s="10">
        <v>51.76</v>
      </c>
      <c r="Y29" s="10">
        <v>51.97</v>
      </c>
      <c r="Z29" s="10">
        <v>51.5</v>
      </c>
      <c r="AA29" s="10">
        <v>51.72</v>
      </c>
      <c r="AB29" s="95">
        <v>5860000</v>
      </c>
      <c r="AC29" s="10">
        <v>51.72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42712</v>
      </c>
      <c r="X30" s="10">
        <v>52.15</v>
      </c>
      <c r="Y30" s="10">
        <v>52.47</v>
      </c>
      <c r="Z30" s="10">
        <v>51.45</v>
      </c>
      <c r="AA30" s="10">
        <v>51.55</v>
      </c>
      <c r="AB30" s="95">
        <v>9242500</v>
      </c>
      <c r="AC30" s="10">
        <v>51.55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42711</v>
      </c>
      <c r="X31" s="10">
        <v>50.79</v>
      </c>
      <c r="Y31" s="10">
        <v>52.25</v>
      </c>
      <c r="Z31" s="10">
        <v>50.6</v>
      </c>
      <c r="AA31" s="10">
        <v>52.1</v>
      </c>
      <c r="AB31" s="95">
        <v>10244200</v>
      </c>
      <c r="AC31" s="10">
        <v>52.1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235</v>
      </c>
      <c r="W32" s="133">
        <v>42710</v>
      </c>
      <c r="X32" s="10">
        <v>50.83</v>
      </c>
      <c r="Y32" s="10">
        <v>51.1</v>
      </c>
      <c r="Z32" s="10">
        <v>50.26</v>
      </c>
      <c r="AA32" s="10">
        <v>50.57</v>
      </c>
      <c r="AB32" s="95">
        <v>12411900</v>
      </c>
      <c r="AC32" s="10">
        <v>50.57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236</v>
      </c>
      <c r="W33" s="133">
        <v>42709</v>
      </c>
      <c r="X33" s="10">
        <v>50.8</v>
      </c>
      <c r="Y33" s="10">
        <v>52.27</v>
      </c>
      <c r="Z33" s="10">
        <v>50.7</v>
      </c>
      <c r="AA33" s="10">
        <v>51.85</v>
      </c>
      <c r="AB33" s="95">
        <v>11995300</v>
      </c>
      <c r="AC33" s="10">
        <v>51.85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42706</v>
      </c>
      <c r="X34" s="10">
        <v>50.26</v>
      </c>
      <c r="Y34" s="10">
        <v>50.68</v>
      </c>
      <c r="Z34" s="10">
        <v>50.11</v>
      </c>
      <c r="AA34" s="10">
        <v>50.46</v>
      </c>
      <c r="AB34" s="95">
        <v>6730200</v>
      </c>
      <c r="AC34" s="10">
        <v>50.46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190</v>
      </c>
      <c r="W35" s="133">
        <v>42705</v>
      </c>
      <c r="X35" s="10">
        <v>50.11</v>
      </c>
      <c r="Y35" s="10">
        <v>51.25</v>
      </c>
      <c r="Z35" s="10">
        <v>50.06</v>
      </c>
      <c r="AA35" s="10">
        <v>50.65</v>
      </c>
      <c r="AB35" s="95">
        <v>7610100</v>
      </c>
      <c r="AC35" s="10">
        <v>50.65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42705</v>
      </c>
      <c r="X36" s="10" t="s">
        <v>293</v>
      </c>
      <c r="Y36" s="10"/>
      <c r="Z36" s="10"/>
      <c r="AA36" s="10"/>
      <c r="AB36" s="95"/>
      <c r="AC36" s="10"/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42704</v>
      </c>
      <c r="X37" s="10">
        <v>50.52</v>
      </c>
      <c r="Y37" s="10">
        <v>50.81</v>
      </c>
      <c r="Z37" s="10">
        <v>50.07</v>
      </c>
      <c r="AA37" s="10">
        <v>50.07</v>
      </c>
      <c r="AB37" s="95">
        <v>8198400</v>
      </c>
      <c r="AC37" s="10">
        <v>49.89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42703</v>
      </c>
      <c r="X38" s="10">
        <v>51.2</v>
      </c>
      <c r="Y38" s="10">
        <v>51.37</v>
      </c>
      <c r="Z38" s="10">
        <v>50.57</v>
      </c>
      <c r="AA38" s="10">
        <v>50.63</v>
      </c>
      <c r="AB38" s="95">
        <v>6065700</v>
      </c>
      <c r="AC38" s="10">
        <v>50.45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42702</v>
      </c>
      <c r="X39" s="10">
        <v>51.44</v>
      </c>
      <c r="Y39" s="10">
        <v>51.44</v>
      </c>
      <c r="Z39" s="10">
        <v>50.61</v>
      </c>
      <c r="AA39" s="10">
        <v>51.01</v>
      </c>
      <c r="AB39" s="95">
        <v>8602100</v>
      </c>
      <c r="AC39" s="10">
        <v>50.83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42699</v>
      </c>
      <c r="X40" s="10">
        <v>51.68</v>
      </c>
      <c r="Y40" s="10">
        <v>51.74</v>
      </c>
      <c r="Z40" s="10">
        <v>51.35</v>
      </c>
      <c r="AA40" s="10">
        <v>51.52</v>
      </c>
      <c r="AB40" s="95">
        <v>2736800</v>
      </c>
      <c r="AC40" s="10">
        <v>51.33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42697</v>
      </c>
      <c r="X41" s="10">
        <v>51.71</v>
      </c>
      <c r="Y41" s="10">
        <v>51.85</v>
      </c>
      <c r="Z41" s="10">
        <v>51.2</v>
      </c>
      <c r="AA41" s="10">
        <v>51.34</v>
      </c>
      <c r="AB41" s="95">
        <v>4141600</v>
      </c>
      <c r="AC41" s="10">
        <v>51.16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42696</v>
      </c>
      <c r="X42" s="10">
        <v>51.47</v>
      </c>
      <c r="Y42" s="10">
        <v>51.75</v>
      </c>
      <c r="Z42" s="10">
        <v>51.05</v>
      </c>
      <c r="AA42" s="10">
        <v>51.71</v>
      </c>
      <c r="AB42" s="95">
        <v>5228100</v>
      </c>
      <c r="AC42" s="10">
        <v>51.52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52.93</v>
      </c>
      <c r="W43" s="133">
        <v>42695</v>
      </c>
      <c r="X43" s="10">
        <v>51</v>
      </c>
      <c r="Y43" s="10">
        <v>51.42</v>
      </c>
      <c r="Z43" s="10">
        <v>50.95</v>
      </c>
      <c r="AA43" s="10">
        <v>51.28</v>
      </c>
      <c r="AB43" s="95">
        <v>5357200</v>
      </c>
      <c r="AC43" s="10">
        <v>51.1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2" t="s">
        <v>78</v>
      </c>
      <c r="P44" s="632"/>
      <c r="T44" s="93" t="s">
        <v>99</v>
      </c>
      <c r="U44" s="130">
        <v>53.22</v>
      </c>
      <c r="W44" s="133">
        <v>42692</v>
      </c>
      <c r="X44" s="10">
        <v>51.39</v>
      </c>
      <c r="Y44" s="10">
        <v>51.89</v>
      </c>
      <c r="Z44" s="10">
        <v>50.96</v>
      </c>
      <c r="AA44" s="10">
        <v>51.1</v>
      </c>
      <c r="AB44" s="95">
        <v>7461600</v>
      </c>
      <c r="AC44" s="10">
        <v>50.92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58.52000000000001</v>
      </c>
      <c r="T45" s="93" t="s">
        <v>100</v>
      </c>
      <c r="U45" s="130" t="s">
        <v>129</v>
      </c>
      <c r="W45" s="133">
        <v>42691</v>
      </c>
      <c r="X45" s="10">
        <v>50.94</v>
      </c>
      <c r="Y45" s="10">
        <v>51.67</v>
      </c>
      <c r="Z45" s="10">
        <v>50.72</v>
      </c>
      <c r="AA45" s="10">
        <v>51.59</v>
      </c>
      <c r="AB45" s="95">
        <v>7671600</v>
      </c>
      <c r="AC45" s="10">
        <v>51.4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261</v>
      </c>
      <c r="O46" s="83">
        <v>1.0900000000000001</v>
      </c>
      <c r="P46" s="83">
        <f t="shared" ref="P46:P65" si="31">O46*$Q$4</f>
        <v>57.988000000000007</v>
      </c>
      <c r="T46" s="93" t="s">
        <v>101</v>
      </c>
      <c r="U46" s="130" t="s">
        <v>129</v>
      </c>
      <c r="W46" s="133">
        <v>42690</v>
      </c>
      <c r="X46" s="10">
        <v>50</v>
      </c>
      <c r="Y46" s="10">
        <v>50.8</v>
      </c>
      <c r="Z46" s="10">
        <v>49.95</v>
      </c>
      <c r="AA46" s="10">
        <v>50.68</v>
      </c>
      <c r="AB46" s="95">
        <v>6760300</v>
      </c>
      <c r="AC46" s="10">
        <v>50.5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57.45600000000001</v>
      </c>
      <c r="T47" s="93" t="s">
        <v>102</v>
      </c>
      <c r="U47" s="130">
        <v>62</v>
      </c>
      <c r="W47" s="133">
        <v>42689</v>
      </c>
      <c r="X47" s="10">
        <v>50.46</v>
      </c>
      <c r="Y47" s="10">
        <v>50.64</v>
      </c>
      <c r="Z47" s="10">
        <v>49.75</v>
      </c>
      <c r="AA47" s="10">
        <v>50.13</v>
      </c>
      <c r="AB47" s="95">
        <v>9299800</v>
      </c>
      <c r="AC47" s="10">
        <v>49.95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56.924000000000007</v>
      </c>
      <c r="T48" s="93" t="s">
        <v>103</v>
      </c>
      <c r="U48" s="130">
        <v>0.50433799999999995</v>
      </c>
      <c r="W48" s="133">
        <v>42688</v>
      </c>
      <c r="X48" s="10">
        <v>51.18</v>
      </c>
      <c r="Y48" s="10">
        <v>51.19</v>
      </c>
      <c r="Z48" s="10">
        <v>50.21</v>
      </c>
      <c r="AA48" s="10">
        <v>50.21</v>
      </c>
      <c r="AB48" s="95">
        <v>8063900</v>
      </c>
      <c r="AC48" s="10">
        <v>50.03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56.392000000000003</v>
      </c>
      <c r="T49" s="93" t="s">
        <v>122</v>
      </c>
      <c r="U49" s="130" t="s">
        <v>381</v>
      </c>
      <c r="W49" s="133">
        <v>42685</v>
      </c>
      <c r="X49" s="10">
        <v>50.22</v>
      </c>
      <c r="Y49" s="10">
        <v>50.85</v>
      </c>
      <c r="Z49" s="10">
        <v>50.18</v>
      </c>
      <c r="AA49" s="10">
        <v>50.77</v>
      </c>
      <c r="AB49" s="95">
        <v>6283600</v>
      </c>
      <c r="AC49" s="10">
        <v>50.59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55.860000000000007</v>
      </c>
      <c r="T50" s="93"/>
      <c r="U50" s="130"/>
      <c r="W50" s="133">
        <v>42684</v>
      </c>
      <c r="X50" s="10">
        <v>51.29</v>
      </c>
      <c r="Y50" s="10">
        <v>51.37</v>
      </c>
      <c r="Z50" s="10">
        <v>50.33</v>
      </c>
      <c r="AA50" s="10">
        <v>50.39</v>
      </c>
      <c r="AB50" s="95">
        <v>12316100</v>
      </c>
      <c r="AC50" s="10">
        <v>50.21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55.328000000000003</v>
      </c>
      <c r="T51" s="93" t="s">
        <v>105</v>
      </c>
      <c r="U51" s="130" t="s">
        <v>517</v>
      </c>
      <c r="W51" s="133">
        <v>42683</v>
      </c>
      <c r="X51" s="10">
        <v>50.07</v>
      </c>
      <c r="Y51" s="10">
        <v>51.27</v>
      </c>
      <c r="Z51" s="10">
        <v>49.8</v>
      </c>
      <c r="AA51" s="10">
        <v>51.12</v>
      </c>
      <c r="AB51" s="95">
        <v>9058600</v>
      </c>
      <c r="AC51" s="10">
        <v>50.94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54.796000000000006</v>
      </c>
      <c r="T52" s="93" t="s">
        <v>106</v>
      </c>
      <c r="U52" s="130" t="s">
        <v>382</v>
      </c>
      <c r="W52" s="133">
        <v>42682</v>
      </c>
      <c r="X52" s="10">
        <v>51.1</v>
      </c>
      <c r="Y52" s="10">
        <v>51.49</v>
      </c>
      <c r="Z52" s="10">
        <v>50.95</v>
      </c>
      <c r="AA52" s="10">
        <v>51.08</v>
      </c>
      <c r="AB52" s="95">
        <v>8107100</v>
      </c>
      <c r="AC52" s="10">
        <v>50.9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190</v>
      </c>
      <c r="O53" s="83">
        <v>1.02</v>
      </c>
      <c r="P53" s="83">
        <f t="shared" si="31"/>
        <v>54.264000000000003</v>
      </c>
      <c r="T53" s="93" t="s">
        <v>107</v>
      </c>
      <c r="U53" s="131">
        <v>7861047</v>
      </c>
      <c r="W53" s="133">
        <v>42681</v>
      </c>
      <c r="X53" s="10">
        <v>50.48</v>
      </c>
      <c r="Y53" s="10">
        <v>50.93</v>
      </c>
      <c r="Z53" s="10">
        <v>50.28</v>
      </c>
      <c r="AA53" s="10">
        <v>50.91</v>
      </c>
      <c r="AB53" s="95">
        <v>8358700</v>
      </c>
      <c r="AC53" s="10">
        <v>50.73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53.732000000000006</v>
      </c>
      <c r="T54" s="93" t="s">
        <v>110</v>
      </c>
      <c r="U54" s="131">
        <v>9392200</v>
      </c>
      <c r="W54" s="133">
        <v>42678</v>
      </c>
      <c r="X54" s="10">
        <v>49.8</v>
      </c>
      <c r="Y54" s="10">
        <v>50.45</v>
      </c>
      <c r="Z54" s="10">
        <v>49.76</v>
      </c>
      <c r="AA54" s="10">
        <v>49.96</v>
      </c>
      <c r="AB54" s="95">
        <v>9925200</v>
      </c>
      <c r="AC54" s="10">
        <v>49.78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53.2</v>
      </c>
      <c r="T55" s="93" t="s">
        <v>108</v>
      </c>
      <c r="U55" s="130" t="s">
        <v>518</v>
      </c>
      <c r="W55" s="133">
        <v>42677</v>
      </c>
      <c r="X55" s="10">
        <v>49.98</v>
      </c>
      <c r="Y55" s="10">
        <v>50</v>
      </c>
      <c r="Z55" s="10">
        <v>49.31</v>
      </c>
      <c r="AA55" s="10">
        <v>49.73</v>
      </c>
      <c r="AB55" s="95">
        <v>7678700</v>
      </c>
      <c r="AC55" s="10">
        <v>49.55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52.667999999999999</v>
      </c>
      <c r="T56" s="93" t="s">
        <v>111</v>
      </c>
      <c r="U56" s="130">
        <v>23.46</v>
      </c>
      <c r="W56" s="133">
        <v>42676</v>
      </c>
      <c r="X56" s="10">
        <v>49.24</v>
      </c>
      <c r="Y56" s="10">
        <v>50.27</v>
      </c>
      <c r="Z56" s="10">
        <v>49.01</v>
      </c>
      <c r="AA56" s="10">
        <v>49.72</v>
      </c>
      <c r="AB56" s="95">
        <v>10775900</v>
      </c>
      <c r="AC56" s="10">
        <v>49.54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52.136000000000003</v>
      </c>
      <c r="T57" s="93" t="s">
        <v>112</v>
      </c>
      <c r="U57" s="130">
        <v>2.27</v>
      </c>
      <c r="W57" s="133">
        <v>42675</v>
      </c>
      <c r="X57" s="10">
        <v>50.5</v>
      </c>
      <c r="Y57" s="10">
        <v>50.51</v>
      </c>
      <c r="Z57" s="10">
        <v>49.14</v>
      </c>
      <c r="AA57" s="10">
        <v>49.62</v>
      </c>
      <c r="AB57" s="95">
        <v>14100400</v>
      </c>
      <c r="AC57" s="10">
        <v>49.44</v>
      </c>
      <c r="AE57" s="138"/>
    </row>
    <row r="58" spans="1:41" x14ac:dyDescent="0.25">
      <c r="O58" s="83">
        <v>0.97</v>
      </c>
      <c r="P58" s="83">
        <f t="shared" si="31"/>
        <v>51.603999999999999</v>
      </c>
      <c r="T58" s="93" t="s">
        <v>109</v>
      </c>
      <c r="U58" s="130" t="s">
        <v>519</v>
      </c>
      <c r="W58" s="133">
        <v>42674</v>
      </c>
      <c r="X58" s="10">
        <v>50.88</v>
      </c>
      <c r="Y58" s="10">
        <v>51.15</v>
      </c>
      <c r="Z58" s="10">
        <v>50</v>
      </c>
      <c r="AA58" s="10">
        <v>50.18</v>
      </c>
      <c r="AB58" s="95">
        <v>17931300</v>
      </c>
      <c r="AC58" s="10">
        <v>50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51.072000000000003</v>
      </c>
      <c r="W59" s="133">
        <v>42671</v>
      </c>
      <c r="X59" s="10">
        <v>52.12</v>
      </c>
      <c r="Y59" s="10">
        <v>52.5</v>
      </c>
      <c r="Z59" s="10">
        <v>51.79</v>
      </c>
      <c r="AA59" s="10">
        <v>52.02</v>
      </c>
      <c r="AB59" s="95">
        <v>9096700</v>
      </c>
      <c r="AC59" s="10">
        <v>51.83</v>
      </c>
      <c r="AE59" s="138"/>
    </row>
    <row r="60" spans="1:41" x14ac:dyDescent="0.25">
      <c r="O60" s="83">
        <v>0.95</v>
      </c>
      <c r="P60" s="83">
        <f t="shared" si="31"/>
        <v>50.54</v>
      </c>
      <c r="W60" s="133">
        <v>42670</v>
      </c>
      <c r="X60" s="10">
        <v>52.34</v>
      </c>
      <c r="Y60" s="10">
        <v>52.34</v>
      </c>
      <c r="Z60" s="10">
        <v>51.69</v>
      </c>
      <c r="AA60" s="10">
        <v>51.89</v>
      </c>
      <c r="AB60" s="95">
        <v>7939200</v>
      </c>
      <c r="AC60" s="10">
        <v>51.7</v>
      </c>
      <c r="AE60" s="138"/>
    </row>
    <row r="61" spans="1:41" x14ac:dyDescent="0.25">
      <c r="O61" s="83">
        <v>0.94</v>
      </c>
      <c r="P61" s="83">
        <f t="shared" si="31"/>
        <v>50.008000000000003</v>
      </c>
      <c r="W61" s="133">
        <v>42669</v>
      </c>
      <c r="X61" s="10">
        <v>50.95</v>
      </c>
      <c r="Y61" s="10">
        <v>52.27</v>
      </c>
      <c r="Z61" s="10">
        <v>50.9</v>
      </c>
      <c r="AA61" s="10">
        <v>51.97</v>
      </c>
      <c r="AB61" s="95">
        <v>12401100</v>
      </c>
      <c r="AC61" s="10">
        <v>51.78</v>
      </c>
      <c r="AE61" s="138"/>
    </row>
    <row r="62" spans="1:41" x14ac:dyDescent="0.25">
      <c r="O62" s="83">
        <v>0.93</v>
      </c>
      <c r="P62" s="83">
        <f t="shared" si="31"/>
        <v>49.476000000000006</v>
      </c>
      <c r="W62" s="133">
        <v>42668</v>
      </c>
      <c r="X62" s="10">
        <v>50.97</v>
      </c>
      <c r="Y62" s="10">
        <v>51.44</v>
      </c>
      <c r="Z62" s="10">
        <v>50.71</v>
      </c>
      <c r="AA62" s="10">
        <v>51.05</v>
      </c>
      <c r="AB62" s="95">
        <v>14975300</v>
      </c>
      <c r="AC62" s="10">
        <v>50.87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48.944000000000003</v>
      </c>
      <c r="W63" s="133">
        <v>42667</v>
      </c>
      <c r="X63" s="10">
        <v>52.16</v>
      </c>
      <c r="Y63" s="10">
        <v>52.29</v>
      </c>
      <c r="Z63" s="10">
        <v>51.83</v>
      </c>
      <c r="AA63" s="10">
        <v>51.87</v>
      </c>
      <c r="AB63" s="95">
        <v>7578200</v>
      </c>
      <c r="AC63" s="10">
        <v>51.68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48.412000000000006</v>
      </c>
      <c r="W64" s="133">
        <v>42664</v>
      </c>
      <c r="X64" s="10">
        <v>51.74</v>
      </c>
      <c r="Y64" s="10">
        <v>51.87</v>
      </c>
      <c r="Z64" s="10">
        <v>51.25</v>
      </c>
      <c r="AA64" s="10">
        <v>51.77</v>
      </c>
      <c r="AB64" s="95">
        <v>9161000</v>
      </c>
      <c r="AC64" s="10">
        <v>51.58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47.88</v>
      </c>
      <c r="W65" s="133">
        <v>42663</v>
      </c>
      <c r="X65" s="10">
        <v>51.77</v>
      </c>
      <c r="Y65" s="10">
        <v>52.36</v>
      </c>
      <c r="Z65" s="10">
        <v>51.69</v>
      </c>
      <c r="AA65" s="10">
        <v>51.89</v>
      </c>
      <c r="AB65" s="95">
        <v>6590500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248</v>
      </c>
      <c r="M66" s="261"/>
      <c r="W66" s="133">
        <v>42662</v>
      </c>
      <c r="X66" s="10">
        <v>51.34</v>
      </c>
      <c r="Y66" s="10">
        <v>51.84</v>
      </c>
      <c r="Z66" s="10">
        <v>51.14</v>
      </c>
      <c r="AA66" s="10">
        <v>51.8</v>
      </c>
      <c r="AB66" s="95">
        <v>6999000</v>
      </c>
      <c r="AC66" s="10">
        <v>51.61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42661</v>
      </c>
      <c r="X67" s="10">
        <v>51.3</v>
      </c>
      <c r="Y67" s="10">
        <v>51.66</v>
      </c>
      <c r="Z67" s="10">
        <v>51.19</v>
      </c>
      <c r="AA67" s="10">
        <v>51.22</v>
      </c>
      <c r="AB67" s="95">
        <v>6805200</v>
      </c>
      <c r="AC67" s="10">
        <v>51.04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42660</v>
      </c>
      <c r="X68" s="10">
        <v>51.65</v>
      </c>
      <c r="Y68" s="10">
        <v>51.75</v>
      </c>
      <c r="Z68" s="10">
        <v>50.96</v>
      </c>
      <c r="AA68" s="10">
        <v>51.03</v>
      </c>
      <c r="AB68" s="95">
        <v>7904000</v>
      </c>
      <c r="AC68" s="10">
        <v>50.85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0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200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1">SUM(M86:M101)</f>
        <v>7.2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19" priority="41">
      <formula>F27&gt;0</formula>
    </cfRule>
    <cfRule type="expression" dxfId="618" priority="42">
      <formula>F27&lt;0</formula>
    </cfRule>
  </conditionalFormatting>
  <conditionalFormatting sqref="H27:H33 H35:H44">
    <cfRule type="expression" dxfId="617" priority="37">
      <formula>H27&gt;0</formula>
    </cfRule>
    <cfRule type="expression" dxfId="616" priority="38">
      <formula>H27&lt;0</formula>
    </cfRule>
  </conditionalFormatting>
  <conditionalFormatting sqref="F23:F26">
    <cfRule type="expression" dxfId="615" priority="23">
      <formula>F23&gt;0</formula>
    </cfRule>
    <cfRule type="expression" dxfId="614" priority="24">
      <formula>F23&lt;0</formula>
    </cfRule>
  </conditionalFormatting>
  <conditionalFormatting sqref="H23:H26">
    <cfRule type="expression" dxfId="613" priority="21">
      <formula>H23&gt;0</formula>
    </cfRule>
    <cfRule type="expression" dxfId="612" priority="22">
      <formula>H23&lt;0</formula>
    </cfRule>
  </conditionalFormatting>
  <conditionalFormatting sqref="Q8">
    <cfRule type="expression" dxfId="611" priority="17">
      <formula>Q8&gt;0</formula>
    </cfRule>
    <cfRule type="expression" dxfId="610" priority="18">
      <formula>Q8&lt;0</formula>
    </cfRule>
  </conditionalFormatting>
  <conditionalFormatting sqref="Q7">
    <cfRule type="expression" dxfId="609" priority="19">
      <formula>Q7&gt;0</formula>
    </cfRule>
    <cfRule type="expression" dxfId="608" priority="20">
      <formula>Q7&lt;0</formula>
    </cfRule>
  </conditionalFormatting>
  <conditionalFormatting sqref="F34">
    <cfRule type="expression" dxfId="607" priority="15">
      <formula>F34&gt;0</formula>
    </cfRule>
    <cfRule type="expression" dxfId="606" priority="16">
      <formula>F34&lt;0</formula>
    </cfRule>
  </conditionalFormatting>
  <conditionalFormatting sqref="H34">
    <cfRule type="expression" dxfId="605" priority="13">
      <formula>H34&gt;0</formula>
    </cfRule>
    <cfRule type="expression" dxfId="604" priority="14">
      <formula>H34&lt;0</formula>
    </cfRule>
  </conditionalFormatting>
  <conditionalFormatting sqref="F46:F51">
    <cfRule type="expression" dxfId="603" priority="11">
      <formula>F46&gt;0</formula>
    </cfRule>
    <cfRule type="expression" dxfId="602" priority="12">
      <formula>F46&lt;0</formula>
    </cfRule>
  </conditionalFormatting>
  <conditionalFormatting sqref="H46:H51">
    <cfRule type="expression" dxfId="601" priority="9">
      <formula>H46&gt;0</formula>
    </cfRule>
    <cfRule type="expression" dxfId="600" priority="10">
      <formula>H46&lt;0</formula>
    </cfRule>
  </conditionalFormatting>
  <conditionalFormatting sqref="F52:F57">
    <cfRule type="expression" dxfId="599" priority="7">
      <formula>F52&gt;0</formula>
    </cfRule>
    <cfRule type="expression" dxfId="598" priority="8">
      <formula>F52&lt;0</formula>
    </cfRule>
  </conditionalFormatting>
  <conditionalFormatting sqref="H52:H57">
    <cfRule type="expression" dxfId="597" priority="5">
      <formula>H52&gt;0</formula>
    </cfRule>
    <cfRule type="expression" dxfId="596" priority="6">
      <formula>H52&lt;0</formula>
    </cfRule>
  </conditionalFormatting>
  <conditionalFormatting sqref="M63">
    <cfRule type="expression" dxfId="595" priority="3">
      <formula>M63&gt;0</formula>
    </cfRule>
    <cfRule type="expression" dxfId="594" priority="4">
      <formula>M63&lt;0</formula>
    </cfRule>
  </conditionalFormatting>
  <conditionalFormatting sqref="M84">
    <cfRule type="expression" dxfId="593" priority="1">
      <formula>M84&gt;0</formula>
    </cfRule>
    <cfRule type="expression" dxfId="592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>
        <v>42724</v>
      </c>
      <c r="C2" s="4">
        <v>100</v>
      </c>
      <c r="D2" s="3">
        <v>27.58</v>
      </c>
      <c r="E2" s="3">
        <v>0</v>
      </c>
      <c r="F2" s="3">
        <f>D2*C2+E2</f>
        <v>2758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250</v>
      </c>
      <c r="W2" s="133">
        <v>42755</v>
      </c>
      <c r="X2" s="10">
        <v>30.69</v>
      </c>
      <c r="Y2" s="10">
        <v>31.57</v>
      </c>
      <c r="Z2" s="10">
        <v>30.65</v>
      </c>
      <c r="AA2" s="10">
        <v>31.28</v>
      </c>
      <c r="AB2" s="95">
        <v>5496200</v>
      </c>
      <c r="AC2" s="10">
        <v>31.28</v>
      </c>
      <c r="AD2" s="2">
        <f>Y2-Z2</f>
        <v>0.92000000000000171</v>
      </c>
      <c r="AE2" s="138">
        <f>AC2/AC3-1</f>
        <v>3.4049586776859542E-2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27.58</v>
      </c>
      <c r="T3" s="1"/>
      <c r="W3" s="133">
        <v>42754</v>
      </c>
      <c r="X3" s="10">
        <v>30.69</v>
      </c>
      <c r="Y3" s="10">
        <v>30.83</v>
      </c>
      <c r="Z3" s="10">
        <v>30.01</v>
      </c>
      <c r="AA3" s="10">
        <v>30.25</v>
      </c>
      <c r="AB3" s="95">
        <v>3143500</v>
      </c>
      <c r="AC3" s="10">
        <v>30.25</v>
      </c>
      <c r="AD3" s="2">
        <f t="shared" ref="AD3:AD66" si="0">Y3-Z3</f>
        <v>0.81999999999999673</v>
      </c>
      <c r="AE3" s="138">
        <f t="shared" ref="AE3:AE66" si="1">AC3/AC4-1</f>
        <v>-1.1437908496732097E-2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31.28</v>
      </c>
      <c r="R4" s="505">
        <v>3.4000000000000002E-2</v>
      </c>
      <c r="T4" s="163"/>
      <c r="U4" s="1"/>
      <c r="W4" s="133">
        <v>42753</v>
      </c>
      <c r="X4" s="10">
        <v>30.84</v>
      </c>
      <c r="Y4" s="10">
        <v>30.92</v>
      </c>
      <c r="Z4" s="10">
        <v>30.35</v>
      </c>
      <c r="AA4" s="10">
        <v>30.6</v>
      </c>
      <c r="AB4" s="95">
        <v>2887800</v>
      </c>
      <c r="AC4" s="10">
        <v>30.6</v>
      </c>
      <c r="AD4" s="2">
        <f t="shared" si="0"/>
        <v>0.57000000000000028</v>
      </c>
      <c r="AE4" s="138">
        <f t="shared" si="1"/>
        <v>-5.5248618784530246E-3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3128</v>
      </c>
      <c r="W5" s="133">
        <v>42752</v>
      </c>
      <c r="X5" s="10">
        <v>31.5</v>
      </c>
      <c r="Y5" s="10">
        <v>31.52</v>
      </c>
      <c r="Z5" s="10">
        <v>30.59</v>
      </c>
      <c r="AA5" s="10">
        <v>30.77</v>
      </c>
      <c r="AB5" s="95">
        <v>3301500</v>
      </c>
      <c r="AC5" s="10">
        <v>30.77</v>
      </c>
      <c r="AD5" s="2">
        <f t="shared" si="0"/>
        <v>0.92999999999999972</v>
      </c>
      <c r="AE5" s="138">
        <f t="shared" si="1"/>
        <v>-1.536000000000004E-2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2758</v>
      </c>
      <c r="W6" s="133">
        <v>42748</v>
      </c>
      <c r="X6" s="10">
        <v>31.49</v>
      </c>
      <c r="Y6" s="10">
        <v>31.78</v>
      </c>
      <c r="Z6" s="10">
        <v>30.93</v>
      </c>
      <c r="AA6" s="10">
        <v>31.25</v>
      </c>
      <c r="AB6" s="95">
        <v>2961000</v>
      </c>
      <c r="AC6" s="10">
        <v>31.25</v>
      </c>
      <c r="AD6" s="2">
        <f t="shared" si="0"/>
        <v>0.85000000000000142</v>
      </c>
      <c r="AE6" s="138">
        <f t="shared" si="1"/>
        <v>-5.0939191340337864E-3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1422.33</v>
      </c>
      <c r="R7">
        <v>100</v>
      </c>
      <c r="W7" s="133">
        <v>42747</v>
      </c>
      <c r="X7" s="10">
        <v>31.43</v>
      </c>
      <c r="Y7" s="10">
        <v>31.61</v>
      </c>
      <c r="Z7" s="10">
        <v>30.67</v>
      </c>
      <c r="AA7" s="10">
        <v>31.41</v>
      </c>
      <c r="AB7" s="95">
        <v>3510600</v>
      </c>
      <c r="AC7" s="10">
        <v>31.41</v>
      </c>
      <c r="AD7" s="2">
        <f t="shared" si="0"/>
        <v>0.93999999999999773</v>
      </c>
      <c r="AE7" s="138">
        <f t="shared" si="1"/>
        <v>-6.3633471205848391E-4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370</v>
      </c>
      <c r="W8" s="133">
        <v>42746</v>
      </c>
      <c r="X8" s="10">
        <v>30.77</v>
      </c>
      <c r="Y8" s="10">
        <v>31.45</v>
      </c>
      <c r="Z8" s="10">
        <v>30.51</v>
      </c>
      <c r="AA8" s="10">
        <v>31.43</v>
      </c>
      <c r="AB8" s="95">
        <v>3407000</v>
      </c>
      <c r="AC8" s="10">
        <v>31.43</v>
      </c>
      <c r="AD8" s="2">
        <f t="shared" si="0"/>
        <v>0.93999999999999773</v>
      </c>
      <c r="AE8" s="138">
        <f t="shared" si="1"/>
        <v>2.3111979166666741E-2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0.13415518491660625</v>
      </c>
      <c r="W9" s="133">
        <v>42745</v>
      </c>
      <c r="X9" s="10">
        <v>30.79</v>
      </c>
      <c r="Y9" s="10">
        <v>31.23</v>
      </c>
      <c r="Z9" s="10">
        <v>30.29</v>
      </c>
      <c r="AA9" s="10">
        <v>30.72</v>
      </c>
      <c r="AB9" s="95">
        <v>2999800</v>
      </c>
      <c r="AC9" s="10">
        <v>30.72</v>
      </c>
      <c r="AD9" s="2">
        <f t="shared" si="0"/>
        <v>0.94000000000000128</v>
      </c>
      <c r="AE9" s="138">
        <f t="shared" si="1"/>
        <v>3.2562683165093809E-4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214</v>
      </c>
      <c r="P10" s="34"/>
      <c r="Q10" s="2">
        <f>M84</f>
        <v>1052.33</v>
      </c>
      <c r="W10" s="133">
        <v>42744</v>
      </c>
      <c r="X10" s="10">
        <v>30.87</v>
      </c>
      <c r="Y10" s="10">
        <v>31.12</v>
      </c>
      <c r="Z10" s="10">
        <v>30.45</v>
      </c>
      <c r="AA10" s="10">
        <v>30.71</v>
      </c>
      <c r="AB10" s="95">
        <v>3075700</v>
      </c>
      <c r="AC10" s="10">
        <v>30.71</v>
      </c>
      <c r="AD10" s="2">
        <f t="shared" si="0"/>
        <v>0.67000000000000171</v>
      </c>
      <c r="AE10" s="138">
        <f t="shared" si="1"/>
        <v>-2.9220779220778814E-3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42741</v>
      </c>
      <c r="X11" s="10">
        <v>30.85</v>
      </c>
      <c r="Y11" s="10">
        <v>30.91</v>
      </c>
      <c r="Z11" s="10">
        <v>30.56</v>
      </c>
      <c r="AA11" s="10">
        <v>30.8</v>
      </c>
      <c r="AB11" s="95">
        <v>2704200</v>
      </c>
      <c r="AC11" s="10">
        <v>30.8</v>
      </c>
      <c r="AD11" s="2">
        <f t="shared" si="0"/>
        <v>0.35000000000000142</v>
      </c>
      <c r="AE11" s="138">
        <f t="shared" si="1"/>
        <v>-2.2675736961451642E-3</v>
      </c>
    </row>
    <row r="12" spans="1:31" x14ac:dyDescent="0.25">
      <c r="H12" s="72"/>
      <c r="W12" s="133">
        <v>42740</v>
      </c>
      <c r="X12" s="10">
        <v>30.9</v>
      </c>
      <c r="Y12" s="10">
        <v>31.04</v>
      </c>
      <c r="Z12" s="10">
        <v>30.46</v>
      </c>
      <c r="AA12" s="10">
        <v>30.87</v>
      </c>
      <c r="AB12" s="95">
        <v>4710200</v>
      </c>
      <c r="AC12" s="10">
        <v>30.87</v>
      </c>
      <c r="AD12" s="2">
        <f t="shared" si="0"/>
        <v>0.57999999999999829</v>
      </c>
      <c r="AE12" s="138">
        <f t="shared" si="1"/>
        <v>1.9474196689386325E-3</v>
      </c>
    </row>
    <row r="13" spans="1:31" x14ac:dyDescent="0.25">
      <c r="H13" s="72"/>
      <c r="W13" s="133">
        <v>42739</v>
      </c>
      <c r="X13" s="10">
        <v>29.7</v>
      </c>
      <c r="Y13" s="10">
        <v>30.9</v>
      </c>
      <c r="Z13" s="10">
        <v>29.69</v>
      </c>
      <c r="AA13" s="10">
        <v>30.81</v>
      </c>
      <c r="AB13" s="95">
        <v>12148900</v>
      </c>
      <c r="AC13" s="10">
        <v>30.81</v>
      </c>
      <c r="AD13" s="2">
        <f t="shared" si="0"/>
        <v>1.2099999999999973</v>
      </c>
      <c r="AE13" s="138">
        <f t="shared" si="1"/>
        <v>4.3345750084659684E-2</v>
      </c>
    </row>
    <row r="14" spans="1:31" x14ac:dyDescent="0.25">
      <c r="H14" s="72"/>
      <c r="W14" s="133">
        <v>42738</v>
      </c>
      <c r="X14" s="10">
        <v>29.65</v>
      </c>
      <c r="Y14" s="10">
        <v>30.07</v>
      </c>
      <c r="Z14" s="10">
        <v>29.28</v>
      </c>
      <c r="AA14" s="10">
        <v>29.53</v>
      </c>
      <c r="AB14" s="95">
        <v>3358900</v>
      </c>
      <c r="AC14" s="10">
        <v>29.53</v>
      </c>
      <c r="AD14" s="2">
        <f t="shared" si="0"/>
        <v>0.78999999999999915</v>
      </c>
      <c r="AE14" s="138">
        <f t="shared" si="1"/>
        <v>6.8189566996250672E-3</v>
      </c>
    </row>
    <row r="15" spans="1:31" x14ac:dyDescent="0.25">
      <c r="H15" s="72"/>
      <c r="W15" s="133">
        <v>42734</v>
      </c>
      <c r="X15" s="10">
        <v>29.39</v>
      </c>
      <c r="Y15" s="10">
        <v>29.79</v>
      </c>
      <c r="Z15" s="10">
        <v>29.1</v>
      </c>
      <c r="AA15" s="10">
        <v>29.33</v>
      </c>
      <c r="AB15" s="95">
        <v>2879900</v>
      </c>
      <c r="AC15" s="10">
        <v>29.33</v>
      </c>
      <c r="AD15" s="2">
        <f t="shared" si="0"/>
        <v>0.68999999999999773</v>
      </c>
      <c r="AE15" s="138">
        <f t="shared" si="1"/>
        <v>0</v>
      </c>
    </row>
    <row r="16" spans="1:31" x14ac:dyDescent="0.25">
      <c r="H16" s="72"/>
      <c r="W16" s="133">
        <v>42733</v>
      </c>
      <c r="X16" s="10">
        <v>29.06</v>
      </c>
      <c r="Y16" s="10">
        <v>29.46</v>
      </c>
      <c r="Z16" s="10">
        <v>29.02</v>
      </c>
      <c r="AA16" s="10">
        <v>29.33</v>
      </c>
      <c r="AB16" s="95">
        <v>2080700</v>
      </c>
      <c r="AC16" s="10">
        <v>29.33</v>
      </c>
      <c r="AD16" s="2">
        <f t="shared" si="0"/>
        <v>0.44000000000000128</v>
      </c>
      <c r="AE16" s="138">
        <f t="shared" si="1"/>
        <v>9.291121816930481E-3</v>
      </c>
    </row>
    <row r="17" spans="1:31" x14ac:dyDescent="0.25">
      <c r="W17" s="133">
        <v>42732</v>
      </c>
      <c r="X17" s="10">
        <v>30.09</v>
      </c>
      <c r="Y17" s="10">
        <v>30.38</v>
      </c>
      <c r="Z17" s="10">
        <v>29</v>
      </c>
      <c r="AA17" s="10">
        <v>29.06</v>
      </c>
      <c r="AB17" s="95">
        <v>3384000</v>
      </c>
      <c r="AC17" s="10">
        <v>29.06</v>
      </c>
      <c r="AD17" s="2">
        <f t="shared" si="0"/>
        <v>1.379999999999999</v>
      </c>
      <c r="AE17" s="138">
        <f t="shared" si="1"/>
        <v>-3.2623169107856231E-2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2758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29.15</v>
      </c>
      <c r="Y18" s="10">
        <v>30.31</v>
      </c>
      <c r="Z18" s="10">
        <v>29.11</v>
      </c>
      <c r="AA18" s="10">
        <v>30.04</v>
      </c>
      <c r="AB18" s="95">
        <v>2729200</v>
      </c>
      <c r="AC18" s="10">
        <v>30.04</v>
      </c>
      <c r="AD18" s="2">
        <f t="shared" si="0"/>
        <v>1.1999999999999993</v>
      </c>
      <c r="AE18" s="138">
        <f t="shared" si="1"/>
        <v>2.9472241261137677E-2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29.34</v>
      </c>
      <c r="Y19" s="10">
        <v>29.5</v>
      </c>
      <c r="Z19" s="10">
        <v>28.8</v>
      </c>
      <c r="AA19" s="10">
        <v>29.18</v>
      </c>
      <c r="AB19" s="95">
        <v>2698800</v>
      </c>
      <c r="AC19" s="10">
        <v>29.18</v>
      </c>
      <c r="AD19" s="2">
        <f t="shared" si="0"/>
        <v>0.69999999999999929</v>
      </c>
      <c r="AE19" s="138">
        <f t="shared" si="1"/>
        <v>-5.7921635434412533E-3</v>
      </c>
    </row>
    <row r="20" spans="1:31" x14ac:dyDescent="0.25">
      <c r="W20" s="133">
        <v>42726</v>
      </c>
      <c r="X20" s="10">
        <v>28.68</v>
      </c>
      <c r="Y20" s="10">
        <v>29.43</v>
      </c>
      <c r="Z20" s="10">
        <v>28.54</v>
      </c>
      <c r="AA20" s="10">
        <v>29.35</v>
      </c>
      <c r="AB20" s="95">
        <v>5719100</v>
      </c>
      <c r="AC20" s="10">
        <v>29.35</v>
      </c>
      <c r="AD20" s="2">
        <f t="shared" si="0"/>
        <v>0.89000000000000057</v>
      </c>
      <c r="AE20" s="138">
        <f t="shared" si="1"/>
        <v>1.980542043085487E-2</v>
      </c>
    </row>
    <row r="21" spans="1:31" x14ac:dyDescent="0.25">
      <c r="W21" s="133">
        <v>42725</v>
      </c>
      <c r="X21" s="10">
        <v>28.39</v>
      </c>
      <c r="Y21" s="10">
        <v>28.87</v>
      </c>
      <c r="Z21" s="10">
        <v>28.03</v>
      </c>
      <c r="AA21" s="10">
        <v>28.78</v>
      </c>
      <c r="AB21" s="95">
        <v>5545600</v>
      </c>
      <c r="AC21" s="10">
        <v>28.78</v>
      </c>
      <c r="AD21" s="2">
        <f t="shared" si="0"/>
        <v>0.83999999999999986</v>
      </c>
      <c r="AE21" s="138">
        <f t="shared" si="1"/>
        <v>2.2017045454545414E-2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156</v>
      </c>
      <c r="W22" s="133">
        <v>42724</v>
      </c>
      <c r="X22" s="10">
        <v>27.94</v>
      </c>
      <c r="Y22" s="10">
        <v>28.22</v>
      </c>
      <c r="Z22" s="10">
        <v>27.51</v>
      </c>
      <c r="AA22" s="10">
        <v>28.16</v>
      </c>
      <c r="AB22" s="95">
        <v>6681300</v>
      </c>
      <c r="AC22" s="10">
        <v>28.16</v>
      </c>
      <c r="AD22" s="2">
        <f t="shared" si="0"/>
        <v>0.7099999999999973</v>
      </c>
      <c r="AE22" s="138">
        <f t="shared" si="1"/>
        <v>1.4043932301044393E-2</v>
      </c>
    </row>
    <row r="23" spans="1:31" x14ac:dyDescent="0.25">
      <c r="B23" s="380">
        <v>42754</v>
      </c>
      <c r="C23" s="381">
        <v>100</v>
      </c>
      <c r="D23" s="382">
        <v>27.58</v>
      </c>
      <c r="E23" s="382">
        <v>30.25</v>
      </c>
      <c r="F23" s="382">
        <f t="shared" ref="F23" si="3">C23*(E23-D23)</f>
        <v>267.00000000000017</v>
      </c>
      <c r="G23" s="382">
        <f t="shared" ref="G23" si="4">D23*C23</f>
        <v>2758</v>
      </c>
      <c r="H23" s="383">
        <f t="shared" ref="H23" si="5">(E23-D23)/D23</f>
        <v>9.6809282088469978E-2</v>
      </c>
      <c r="I23" s="382"/>
      <c r="W23" s="133">
        <v>42723</v>
      </c>
      <c r="X23" s="10">
        <v>28.9</v>
      </c>
      <c r="Y23" s="10">
        <v>29.39</v>
      </c>
      <c r="Z23" s="10">
        <v>27.62</v>
      </c>
      <c r="AA23" s="10">
        <v>27.77</v>
      </c>
      <c r="AB23" s="95">
        <v>9512800</v>
      </c>
      <c r="AC23" s="10">
        <v>27.77</v>
      </c>
      <c r="AD23" s="2">
        <f t="shared" si="0"/>
        <v>1.7699999999999996</v>
      </c>
      <c r="AE23" s="138">
        <f t="shared" si="1"/>
        <v>-6.0554803788903877E-2</v>
      </c>
    </row>
    <row r="24" spans="1:31" x14ac:dyDescent="0.25">
      <c r="B24" s="380"/>
      <c r="C24" s="381"/>
      <c r="D24" s="382"/>
      <c r="E24" s="382"/>
      <c r="F24" s="382"/>
      <c r="G24" s="382"/>
      <c r="H24" s="383"/>
      <c r="I24" s="382"/>
      <c r="W24" s="133">
        <v>42720</v>
      </c>
      <c r="X24" s="10">
        <v>29.65</v>
      </c>
      <c r="Y24" s="10">
        <v>29.92</v>
      </c>
      <c r="Z24" s="10">
        <v>29.18</v>
      </c>
      <c r="AA24" s="10">
        <v>29.56</v>
      </c>
      <c r="AB24" s="95">
        <v>6812200</v>
      </c>
      <c r="AC24" s="10">
        <v>29.56</v>
      </c>
      <c r="AD24" s="2">
        <f t="shared" si="0"/>
        <v>0.74000000000000199</v>
      </c>
      <c r="AE24" s="138">
        <f t="shared" si="1"/>
        <v>-6.0524546065904294E-3</v>
      </c>
    </row>
    <row r="25" spans="1:31" x14ac:dyDescent="0.25">
      <c r="B25" s="380"/>
      <c r="C25" s="381"/>
      <c r="D25" s="382"/>
      <c r="E25" s="382"/>
      <c r="F25" s="382"/>
      <c r="G25" s="382"/>
      <c r="H25" s="383"/>
      <c r="I25" s="382"/>
      <c r="W25" s="133">
        <v>42719</v>
      </c>
      <c r="X25" s="10">
        <v>29.22</v>
      </c>
      <c r="Y25" s="10">
        <v>30.38</v>
      </c>
      <c r="Z25" s="10">
        <v>29.1</v>
      </c>
      <c r="AA25" s="10">
        <v>29.74</v>
      </c>
      <c r="AB25" s="95">
        <v>3962500</v>
      </c>
      <c r="AC25" s="10">
        <v>29.74</v>
      </c>
      <c r="AD25" s="2">
        <f t="shared" si="0"/>
        <v>1.2799999999999976</v>
      </c>
      <c r="AE25" s="138">
        <f t="shared" si="1"/>
        <v>1.2253233492171445E-2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42718</v>
      </c>
      <c r="X26" s="10">
        <v>29.57</v>
      </c>
      <c r="Y26" s="10">
        <v>30.44</v>
      </c>
      <c r="Z26" s="10">
        <v>29.32</v>
      </c>
      <c r="AA26" s="10">
        <v>29.38</v>
      </c>
      <c r="AB26" s="95">
        <v>4896900</v>
      </c>
      <c r="AC26" s="10">
        <v>29.38</v>
      </c>
      <c r="AD26" s="2">
        <f t="shared" si="0"/>
        <v>1.120000000000001</v>
      </c>
      <c r="AE26" s="138">
        <f t="shared" si="1"/>
        <v>-4.7425474254743083E-3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42717</v>
      </c>
      <c r="X27" s="10">
        <v>30.62</v>
      </c>
      <c r="Y27" s="10">
        <v>30.63</v>
      </c>
      <c r="Z27" s="10">
        <v>29.06</v>
      </c>
      <c r="AA27" s="10">
        <v>29.52</v>
      </c>
      <c r="AB27" s="95">
        <v>6273500</v>
      </c>
      <c r="AC27" s="10">
        <v>29.52</v>
      </c>
      <c r="AD27" s="2">
        <f t="shared" si="0"/>
        <v>1.5700000000000003</v>
      </c>
      <c r="AE27" s="138">
        <f t="shared" si="1"/>
        <v>-2.3809523809523725E-2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42716</v>
      </c>
      <c r="X28" s="10">
        <v>31.43</v>
      </c>
      <c r="Y28" s="10">
        <v>31.45</v>
      </c>
      <c r="Z28" s="10">
        <v>30.09</v>
      </c>
      <c r="AA28" s="10">
        <v>30.24</v>
      </c>
      <c r="AB28" s="95">
        <v>5559400</v>
      </c>
      <c r="AC28" s="10">
        <v>30.24</v>
      </c>
      <c r="AD28" s="2">
        <f t="shared" si="0"/>
        <v>1.3599999999999994</v>
      </c>
      <c r="AE28" s="138">
        <f t="shared" si="1"/>
        <v>-3.7555697008275102E-2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42713</v>
      </c>
      <c r="X29" s="10">
        <v>30.26</v>
      </c>
      <c r="Y29" s="10">
        <v>31.54</v>
      </c>
      <c r="Z29" s="10">
        <v>30.19</v>
      </c>
      <c r="AA29" s="10">
        <v>31.42</v>
      </c>
      <c r="AB29" s="95">
        <v>5661700</v>
      </c>
      <c r="AC29" s="10">
        <v>31.42</v>
      </c>
      <c r="AD29" s="2">
        <f t="shared" si="0"/>
        <v>1.3499999999999979</v>
      </c>
      <c r="AE29" s="138">
        <f t="shared" si="1"/>
        <v>4.1086812458581923E-2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42712</v>
      </c>
      <c r="X30" s="10">
        <v>30.43</v>
      </c>
      <c r="Y30" s="10">
        <v>30.69</v>
      </c>
      <c r="Z30" s="10">
        <v>29.95</v>
      </c>
      <c r="AA30" s="10">
        <v>30.18</v>
      </c>
      <c r="AB30" s="95">
        <v>4318800</v>
      </c>
      <c r="AC30" s="10">
        <v>30.18</v>
      </c>
      <c r="AD30" s="2">
        <f t="shared" si="0"/>
        <v>0.74000000000000199</v>
      </c>
      <c r="AE30" s="138">
        <f t="shared" si="1"/>
        <v>-1.6539861065166805E-3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42711</v>
      </c>
      <c r="X31" s="10">
        <v>29.45</v>
      </c>
      <c r="Y31" s="10">
        <v>30.29</v>
      </c>
      <c r="Z31" s="10">
        <v>29.31</v>
      </c>
      <c r="AA31" s="10">
        <v>30.23</v>
      </c>
      <c r="AB31" s="95">
        <v>4660100</v>
      </c>
      <c r="AC31" s="10">
        <v>30.23</v>
      </c>
      <c r="AD31" s="2">
        <f t="shared" si="0"/>
        <v>0.98000000000000043</v>
      </c>
      <c r="AE31" s="138">
        <f t="shared" si="1"/>
        <v>2.8931245745405176E-2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42710</v>
      </c>
      <c r="X32" s="10">
        <v>29.05</v>
      </c>
      <c r="Y32" s="10">
        <v>29.52</v>
      </c>
      <c r="Z32" s="10">
        <v>28.47</v>
      </c>
      <c r="AA32" s="10">
        <v>29.38</v>
      </c>
      <c r="AB32" s="95">
        <v>5335600</v>
      </c>
      <c r="AC32" s="10">
        <v>29.38</v>
      </c>
      <c r="AD32" s="2">
        <f t="shared" si="0"/>
        <v>1.0500000000000007</v>
      </c>
      <c r="AE32" s="138">
        <f t="shared" si="1"/>
        <v>7.1991772368871221E-3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42709</v>
      </c>
      <c r="X33" s="10">
        <v>28.98</v>
      </c>
      <c r="Y33" s="10">
        <v>29.8</v>
      </c>
      <c r="Z33" s="10">
        <v>28.98</v>
      </c>
      <c r="AA33" s="10">
        <v>29.17</v>
      </c>
      <c r="AB33" s="95">
        <v>6316500</v>
      </c>
      <c r="AC33" s="10">
        <v>29.17</v>
      </c>
      <c r="AD33" s="2">
        <f t="shared" si="0"/>
        <v>0.82000000000000028</v>
      </c>
      <c r="AE33" s="138">
        <f t="shared" si="1"/>
        <v>1.2144344205412994E-2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42706</v>
      </c>
      <c r="X34" s="10">
        <v>29.05</v>
      </c>
      <c r="Y34" s="10">
        <v>29.25</v>
      </c>
      <c r="Z34" s="10">
        <v>28.67</v>
      </c>
      <c r="AA34" s="10">
        <v>28.82</v>
      </c>
      <c r="AB34" s="95">
        <v>3776400</v>
      </c>
      <c r="AC34" s="10">
        <v>28.82</v>
      </c>
      <c r="AD34" s="2">
        <f t="shared" si="0"/>
        <v>0.57999999999999829</v>
      </c>
      <c r="AE34" s="138">
        <f t="shared" si="1"/>
        <v>-9.2815400481265353E-3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42705</v>
      </c>
      <c r="X35" s="10">
        <v>28.6</v>
      </c>
      <c r="Y35" s="10">
        <v>29.5</v>
      </c>
      <c r="Z35" s="10">
        <v>28.56</v>
      </c>
      <c r="AA35" s="10">
        <v>29.09</v>
      </c>
      <c r="AB35" s="95">
        <v>7387000</v>
      </c>
      <c r="AC35" s="10">
        <v>29.09</v>
      </c>
      <c r="AD35" s="2">
        <f t="shared" si="0"/>
        <v>0.94000000000000128</v>
      </c>
      <c r="AE35" s="138">
        <f t="shared" si="1"/>
        <v>2.4295774647887347E-2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42704</v>
      </c>
      <c r="X36" s="10">
        <v>27.4</v>
      </c>
      <c r="Y36" s="10">
        <v>28.56</v>
      </c>
      <c r="Z36" s="10">
        <v>27.29</v>
      </c>
      <c r="AA36" s="10">
        <v>28.4</v>
      </c>
      <c r="AB36" s="95">
        <v>6330400</v>
      </c>
      <c r="AC36" s="10">
        <v>28.4</v>
      </c>
      <c r="AD36" s="2">
        <f t="shared" si="0"/>
        <v>1.2699999999999996</v>
      </c>
      <c r="AE36" s="138">
        <f t="shared" si="1"/>
        <v>4.9519586104951996E-2</v>
      </c>
    </row>
    <row r="37" spans="2:31" x14ac:dyDescent="0.25">
      <c r="W37" s="133">
        <v>42703</v>
      </c>
      <c r="X37" s="10">
        <v>26.99</v>
      </c>
      <c r="Y37" s="10">
        <v>27.3</v>
      </c>
      <c r="Z37" s="10">
        <v>26.61</v>
      </c>
      <c r="AA37" s="10">
        <v>27.06</v>
      </c>
      <c r="AB37" s="95">
        <v>5492900</v>
      </c>
      <c r="AC37" s="10">
        <v>27.06</v>
      </c>
      <c r="AD37" s="2">
        <f t="shared" si="0"/>
        <v>0.69000000000000128</v>
      </c>
      <c r="AE37" s="138" t="e">
        <f t="shared" si="1"/>
        <v>#DIV/0!</v>
      </c>
    </row>
    <row r="38" spans="2:31" x14ac:dyDescent="0.25">
      <c r="W38" s="133">
        <v>42703</v>
      </c>
      <c r="X38" s="10" t="s">
        <v>366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W39" s="133">
        <v>42702</v>
      </c>
      <c r="X39" s="10">
        <v>27.42</v>
      </c>
      <c r="Y39" s="10">
        <v>27.64</v>
      </c>
      <c r="Z39" s="10">
        <v>26.8</v>
      </c>
      <c r="AA39" s="10">
        <v>27.35</v>
      </c>
      <c r="AB39" s="95">
        <v>4622600</v>
      </c>
      <c r="AC39" s="10">
        <v>27.08</v>
      </c>
      <c r="AD39" s="2">
        <f t="shared" si="0"/>
        <v>0.83999999999999986</v>
      </c>
      <c r="AE39" s="138">
        <f t="shared" si="1"/>
        <v>-2.5782688766113893E-3</v>
      </c>
    </row>
    <row r="40" spans="2:31" ht="20.25" thickBot="1" x14ac:dyDescent="0.35">
      <c r="O40" s="632" t="s">
        <v>78</v>
      </c>
      <c r="P40" s="632"/>
      <c r="W40" s="133">
        <v>42699</v>
      </c>
      <c r="X40" s="10">
        <v>27.48</v>
      </c>
      <c r="Y40" s="10">
        <v>27.7</v>
      </c>
      <c r="Z40" s="10">
        <v>26.95</v>
      </c>
      <c r="AA40" s="10">
        <v>27.43</v>
      </c>
      <c r="AB40" s="95">
        <v>2109000</v>
      </c>
      <c r="AC40" s="10">
        <v>27.15</v>
      </c>
      <c r="AD40" s="2">
        <f t="shared" si="0"/>
        <v>0.75</v>
      </c>
      <c r="AE40" s="138">
        <f t="shared" si="1"/>
        <v>-7.3610599926399178E-4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156</v>
      </c>
      <c r="O41" s="83">
        <v>1.1000000000000001</v>
      </c>
      <c r="P41" s="83">
        <f>O41*$Q$4</f>
        <v>34.408000000000001</v>
      </c>
      <c r="Q41" s="2"/>
      <c r="W41" s="133">
        <v>42697</v>
      </c>
      <c r="X41" s="10">
        <v>27.35</v>
      </c>
      <c r="Y41" s="10">
        <v>27.91</v>
      </c>
      <c r="Z41" s="10">
        <v>27.29</v>
      </c>
      <c r="AA41" s="10">
        <v>27.45</v>
      </c>
      <c r="AB41" s="95">
        <v>4204600</v>
      </c>
      <c r="AC41" s="10">
        <v>27.17</v>
      </c>
      <c r="AD41" s="2">
        <f t="shared" si="0"/>
        <v>0.62000000000000099</v>
      </c>
      <c r="AE41" s="138">
        <f t="shared" si="1"/>
        <v>2.9531192321889943E-3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6">C42*(E42-D42)</f>
        <v>-30.999999999999872</v>
      </c>
      <c r="G42" s="382">
        <f t="shared" ref="G42:G47" si="7">D42*C42</f>
        <v>2500</v>
      </c>
      <c r="H42" s="383">
        <f t="shared" ref="H42:H47" si="8">(E42-D42)/D42</f>
        <v>-1.2399999999999949E-2</v>
      </c>
      <c r="I42" s="382"/>
      <c r="O42" s="83">
        <v>1.0900000000000001</v>
      </c>
      <c r="P42" s="83">
        <f t="shared" ref="P42:P61" si="9">O42*$Q$4</f>
        <v>34.095200000000006</v>
      </c>
      <c r="Q42" s="2"/>
      <c r="T42" s="91" t="s">
        <v>113</v>
      </c>
      <c r="W42" s="133">
        <v>42696</v>
      </c>
      <c r="X42" s="10">
        <v>29.05</v>
      </c>
      <c r="Y42" s="10">
        <v>29.12</v>
      </c>
      <c r="Z42" s="10">
        <v>27.2</v>
      </c>
      <c r="AA42" s="10">
        <v>27.37</v>
      </c>
      <c r="AB42" s="95">
        <v>6784500</v>
      </c>
      <c r="AC42" s="10">
        <v>27.09</v>
      </c>
      <c r="AD42" s="2">
        <f t="shared" si="0"/>
        <v>1.9200000000000017</v>
      </c>
      <c r="AE42" s="138">
        <f t="shared" si="1"/>
        <v>-5.8066759388038958E-2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6"/>
        <v>26.000000000000156</v>
      </c>
      <c r="G43" s="382">
        <f t="shared" si="7"/>
        <v>2500</v>
      </c>
      <c r="H43" s="383">
        <f t="shared" si="8"/>
        <v>1.0400000000000062E-2</v>
      </c>
      <c r="I43" s="382"/>
      <c r="O43" s="83">
        <v>1.08</v>
      </c>
      <c r="P43" s="83">
        <f t="shared" si="9"/>
        <v>33.782400000000003</v>
      </c>
      <c r="Q43" s="2"/>
      <c r="T43" s="128" t="s">
        <v>98</v>
      </c>
      <c r="U43" s="129">
        <v>30.25</v>
      </c>
      <c r="W43" s="133">
        <v>42695</v>
      </c>
      <c r="X43" s="10">
        <v>28.5</v>
      </c>
      <c r="Y43" s="10">
        <v>29.07</v>
      </c>
      <c r="Z43" s="10">
        <v>28.47</v>
      </c>
      <c r="AA43" s="10">
        <v>29.05</v>
      </c>
      <c r="AB43" s="95">
        <v>5397500</v>
      </c>
      <c r="AC43" s="10">
        <v>28.76</v>
      </c>
      <c r="AD43" s="2">
        <f t="shared" si="0"/>
        <v>0.60000000000000142</v>
      </c>
      <c r="AE43" s="138">
        <f t="shared" si="1"/>
        <v>2.7877055039313925E-2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6"/>
        <v>157.00000000000003</v>
      </c>
      <c r="G44" s="382">
        <f t="shared" si="7"/>
        <v>2500</v>
      </c>
      <c r="H44" s="383">
        <f t="shared" si="8"/>
        <v>6.2800000000000009E-2</v>
      </c>
      <c r="I44" s="382"/>
      <c r="O44" s="83">
        <v>1.07</v>
      </c>
      <c r="P44" s="83">
        <f t="shared" si="9"/>
        <v>33.4696</v>
      </c>
      <c r="Q44" s="2"/>
      <c r="T44" s="93" t="s">
        <v>99</v>
      </c>
      <c r="U44" s="130">
        <v>30.69</v>
      </c>
      <c r="W44" s="133">
        <v>42692</v>
      </c>
      <c r="X44" s="10">
        <v>27.21</v>
      </c>
      <c r="Y44" s="10">
        <v>28.36</v>
      </c>
      <c r="Z44" s="10">
        <v>27.21</v>
      </c>
      <c r="AA44" s="10">
        <v>28.26</v>
      </c>
      <c r="AB44" s="95">
        <v>4148600</v>
      </c>
      <c r="AC44" s="10">
        <v>27.98</v>
      </c>
      <c r="AD44" s="2">
        <f t="shared" si="0"/>
        <v>1.1499999999999986</v>
      </c>
      <c r="AE44" s="138">
        <f t="shared" si="1"/>
        <v>3.3998521803400017E-2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6"/>
        <v>46.999999999999886</v>
      </c>
      <c r="G45" s="382">
        <f t="shared" si="7"/>
        <v>2500</v>
      </c>
      <c r="H45" s="383">
        <f t="shared" si="8"/>
        <v>1.8799999999999956E-2</v>
      </c>
      <c r="I45" s="382"/>
      <c r="O45" s="83">
        <v>1.06</v>
      </c>
      <c r="P45" s="83">
        <f t="shared" si="9"/>
        <v>33.156800000000004</v>
      </c>
      <c r="Q45" s="2"/>
      <c r="T45" s="93" t="s">
        <v>100</v>
      </c>
      <c r="U45" s="130" t="s">
        <v>129</v>
      </c>
      <c r="W45" s="133">
        <v>42691</v>
      </c>
      <c r="X45" s="10">
        <v>27.24</v>
      </c>
      <c r="Y45" s="10">
        <v>27.44</v>
      </c>
      <c r="Z45" s="10">
        <v>27.02</v>
      </c>
      <c r="AA45" s="10">
        <v>27.33</v>
      </c>
      <c r="AB45" s="95">
        <v>2786700</v>
      </c>
      <c r="AC45" s="10">
        <v>27.06</v>
      </c>
      <c r="AD45" s="2">
        <f t="shared" si="0"/>
        <v>0.42000000000000171</v>
      </c>
      <c r="AE45" s="138">
        <f t="shared" si="1"/>
        <v>4.4543429844097204E-3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6"/>
        <v>69.000000000000128</v>
      </c>
      <c r="G46" s="382">
        <f t="shared" si="7"/>
        <v>2500</v>
      </c>
      <c r="H46" s="383">
        <f t="shared" si="8"/>
        <v>2.7600000000000052E-2</v>
      </c>
      <c r="I46" s="382"/>
      <c r="O46" s="83">
        <v>1.05</v>
      </c>
      <c r="P46" s="83">
        <f t="shared" si="9"/>
        <v>32.844000000000001</v>
      </c>
      <c r="Q46" s="2"/>
      <c r="T46" s="93" t="s">
        <v>101</v>
      </c>
      <c r="U46" s="130" t="s">
        <v>129</v>
      </c>
      <c r="W46" s="133">
        <v>42690</v>
      </c>
      <c r="X46" s="10">
        <v>27.73</v>
      </c>
      <c r="Y46" s="10">
        <v>27.95</v>
      </c>
      <c r="Z46" s="10">
        <v>27.15</v>
      </c>
      <c r="AA46" s="10">
        <v>27.21</v>
      </c>
      <c r="AB46" s="95">
        <v>3388800</v>
      </c>
      <c r="AC46" s="10">
        <v>26.94</v>
      </c>
      <c r="AD46" s="2">
        <f t="shared" si="0"/>
        <v>0.80000000000000071</v>
      </c>
      <c r="AE46" s="138">
        <f t="shared" si="1"/>
        <v>-2.6382363570654155E-2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6"/>
        <v>148.00000000000006</v>
      </c>
      <c r="G47" s="382">
        <f t="shared" si="7"/>
        <v>2500</v>
      </c>
      <c r="H47" s="383">
        <f t="shared" si="8"/>
        <v>5.9200000000000016E-2</v>
      </c>
      <c r="I47" s="382"/>
      <c r="O47" s="83">
        <v>1.04</v>
      </c>
      <c r="P47" s="83">
        <f t="shared" si="9"/>
        <v>32.531200000000005</v>
      </c>
      <c r="Q47" s="2"/>
      <c r="T47" s="93" t="s">
        <v>102</v>
      </c>
      <c r="U47" s="130">
        <v>26.96</v>
      </c>
      <c r="W47" s="133">
        <v>42689</v>
      </c>
      <c r="X47" s="10">
        <v>28.13</v>
      </c>
      <c r="Y47" s="10">
        <v>28.19</v>
      </c>
      <c r="Z47" s="10">
        <v>27.57</v>
      </c>
      <c r="AA47" s="10">
        <v>27.95</v>
      </c>
      <c r="AB47" s="95">
        <v>4852100</v>
      </c>
      <c r="AC47" s="10">
        <v>27.67</v>
      </c>
      <c r="AD47" s="2">
        <f t="shared" si="0"/>
        <v>0.62000000000000099</v>
      </c>
      <c r="AE47" s="138">
        <f t="shared" si="1"/>
        <v>-1.2138521956444159E-2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0">C48*(E48-D48)</f>
        <v>428.00000000000011</v>
      </c>
      <c r="G48" s="382">
        <f t="shared" ref="G48" si="11">D48*C48</f>
        <v>2500</v>
      </c>
      <c r="H48" s="383">
        <f t="shared" ref="H48" si="12">(E48-D48)/D48</f>
        <v>0.17120000000000005</v>
      </c>
      <c r="I48" s="382"/>
      <c r="O48" s="83">
        <v>1.03</v>
      </c>
      <c r="P48" s="83">
        <f t="shared" si="9"/>
        <v>32.218400000000003</v>
      </c>
      <c r="Q48" s="2"/>
      <c r="T48" s="93" t="s">
        <v>103</v>
      </c>
      <c r="U48" s="130">
        <v>1.4861200000000001</v>
      </c>
      <c r="W48" s="133">
        <v>42688</v>
      </c>
      <c r="X48" s="10">
        <v>27.45</v>
      </c>
      <c r="Y48" s="10">
        <v>28.3</v>
      </c>
      <c r="Z48" s="10">
        <v>27.45</v>
      </c>
      <c r="AA48" s="10">
        <v>28.29</v>
      </c>
      <c r="AB48" s="95">
        <v>6924200</v>
      </c>
      <c r="AC48" s="10">
        <v>28.01</v>
      </c>
      <c r="AD48" s="2">
        <f t="shared" si="0"/>
        <v>0.85000000000000142</v>
      </c>
      <c r="AE48" s="138">
        <f t="shared" si="1"/>
        <v>3.2436417250276461E-2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3">C49*(E49-D49)</f>
        <v>368</v>
      </c>
      <c r="G49" s="382">
        <f t="shared" ref="G49" si="14">D49*C49</f>
        <v>2500</v>
      </c>
      <c r="H49" s="383">
        <f t="shared" ref="H49" si="15">(E49-D49)/D49</f>
        <v>0.1472</v>
      </c>
      <c r="I49" s="382"/>
      <c r="O49" s="83">
        <v>1.02</v>
      </c>
      <c r="P49" s="83">
        <f t="shared" si="9"/>
        <v>31.905600000000003</v>
      </c>
      <c r="Q49" s="2"/>
      <c r="T49" s="93" t="s">
        <v>104</v>
      </c>
      <c r="U49" s="130" t="s">
        <v>438</v>
      </c>
      <c r="W49" s="133">
        <v>42685</v>
      </c>
      <c r="X49" s="10">
        <v>28.07</v>
      </c>
      <c r="Y49" s="10">
        <v>28.18</v>
      </c>
      <c r="Z49" s="10">
        <v>26.8</v>
      </c>
      <c r="AA49" s="10">
        <v>27.41</v>
      </c>
      <c r="AB49" s="95">
        <v>7431600</v>
      </c>
      <c r="AC49" s="10">
        <v>27.13</v>
      </c>
      <c r="AD49" s="2">
        <f t="shared" si="0"/>
        <v>1.379999999999999</v>
      </c>
      <c r="AE49" s="138">
        <f t="shared" si="1"/>
        <v>-2.9338103756708422E-2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16">C50*(E50-D50)</f>
        <v>401.00000000000017</v>
      </c>
      <c r="G50" s="382">
        <f t="shared" ref="G50" si="17">D50*C50</f>
        <v>2500</v>
      </c>
      <c r="H50" s="383">
        <f t="shared" ref="H50" si="18">(E50-D50)/D50</f>
        <v>0.16040000000000007</v>
      </c>
      <c r="I50" s="382"/>
      <c r="O50" s="83">
        <v>1.01</v>
      </c>
      <c r="P50" s="83">
        <f t="shared" si="9"/>
        <v>31.5928</v>
      </c>
      <c r="Q50" s="2"/>
      <c r="T50" s="93"/>
      <c r="U50" s="130"/>
      <c r="W50" s="133">
        <v>42684</v>
      </c>
      <c r="X50" s="10">
        <v>26.93</v>
      </c>
      <c r="Y50" s="10">
        <v>28.5</v>
      </c>
      <c r="Z50" s="10">
        <v>26.93</v>
      </c>
      <c r="AA50" s="10">
        <v>28.23</v>
      </c>
      <c r="AB50" s="95">
        <v>7989700</v>
      </c>
      <c r="AC50" s="10">
        <v>27.95</v>
      </c>
      <c r="AD50" s="2">
        <f t="shared" si="0"/>
        <v>1.5700000000000003</v>
      </c>
      <c r="AE50" s="138">
        <f t="shared" si="1"/>
        <v>5.4716981132075349E-2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19">C51*(E51-D51)</f>
        <v>389.00000000000006</v>
      </c>
      <c r="G51" s="382">
        <f t="shared" ref="G51" si="20">D51*C51</f>
        <v>2500</v>
      </c>
      <c r="H51" s="383">
        <f t="shared" ref="H51" si="21">(E51-D51)/D51</f>
        <v>0.15560000000000002</v>
      </c>
      <c r="I51" s="382"/>
      <c r="O51" s="83">
        <v>1</v>
      </c>
      <c r="P51" s="83">
        <f t="shared" si="9"/>
        <v>31.28</v>
      </c>
      <c r="Q51" s="2"/>
      <c r="T51" s="93" t="s">
        <v>105</v>
      </c>
      <c r="U51" s="130" t="s">
        <v>520</v>
      </c>
      <c r="W51" s="133">
        <v>42683</v>
      </c>
      <c r="X51" s="10">
        <v>25.93</v>
      </c>
      <c r="Y51" s="10">
        <v>26.96</v>
      </c>
      <c r="Z51" s="10">
        <v>25.5</v>
      </c>
      <c r="AA51" s="10">
        <v>26.77</v>
      </c>
      <c r="AB51" s="95">
        <v>5781200</v>
      </c>
      <c r="AC51" s="10">
        <v>26.5</v>
      </c>
      <c r="AD51" s="2">
        <f t="shared" si="0"/>
        <v>1.4600000000000009</v>
      </c>
      <c r="AE51" s="138">
        <f t="shared" si="1"/>
        <v>2.2376543209876365E-2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2">C52*(E52-D52)</f>
        <v>362.99999999999989</v>
      </c>
      <c r="G52" s="382">
        <f t="shared" ref="G52" si="23">D52*C52</f>
        <v>2500</v>
      </c>
      <c r="H52" s="383">
        <f t="shared" ref="H52" si="24">(E52-D52)/D52</f>
        <v>0.14519999999999997</v>
      </c>
      <c r="I52" s="382"/>
      <c r="O52" s="83">
        <v>0.99</v>
      </c>
      <c r="P52" s="83">
        <f t="shared" si="9"/>
        <v>30.967200000000002</v>
      </c>
      <c r="Q52" s="2"/>
      <c r="T52" s="93" t="s">
        <v>106</v>
      </c>
      <c r="U52" s="130" t="s">
        <v>435</v>
      </c>
      <c r="W52" s="133">
        <v>42682</v>
      </c>
      <c r="X52" s="10">
        <v>25.06</v>
      </c>
      <c r="Y52" s="10">
        <v>26.28</v>
      </c>
      <c r="Z52" s="10">
        <v>24.81</v>
      </c>
      <c r="AA52" s="10">
        <v>26.18</v>
      </c>
      <c r="AB52" s="95">
        <v>5437600</v>
      </c>
      <c r="AC52" s="10">
        <v>25.92</v>
      </c>
      <c r="AD52" s="2">
        <f t="shared" si="0"/>
        <v>1.4700000000000024</v>
      </c>
      <c r="AE52" s="138">
        <f t="shared" si="1"/>
        <v>4.2638777152051555E-2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25">C53*(E53-D53)</f>
        <v>434</v>
      </c>
      <c r="G53" s="382">
        <f t="shared" ref="G53" si="26">D53*C53</f>
        <v>2500</v>
      </c>
      <c r="H53" s="383">
        <f t="shared" ref="H53" si="27">(E53-D53)/D53</f>
        <v>0.1736</v>
      </c>
      <c r="I53" s="382"/>
      <c r="O53" s="83">
        <v>0.98</v>
      </c>
      <c r="P53" s="83">
        <f t="shared" si="9"/>
        <v>30.654399999999999</v>
      </c>
      <c r="Q53" s="2"/>
      <c r="T53" s="93" t="s">
        <v>107</v>
      </c>
      <c r="U53" s="131">
        <v>5524931</v>
      </c>
      <c r="W53" s="133">
        <v>42681</v>
      </c>
      <c r="X53" s="10">
        <v>24.88</v>
      </c>
      <c r="Y53" s="10">
        <v>25.35</v>
      </c>
      <c r="Z53" s="10">
        <v>24.76</v>
      </c>
      <c r="AA53" s="10">
        <v>25.11</v>
      </c>
      <c r="AB53" s="95">
        <v>5524700</v>
      </c>
      <c r="AC53" s="10">
        <v>24.86</v>
      </c>
      <c r="AD53" s="2">
        <f t="shared" si="0"/>
        <v>0.58999999999999986</v>
      </c>
      <c r="AE53" s="138">
        <f t="shared" si="1"/>
        <v>2.5154639175257731E-2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28">C54*(E54-D54)</f>
        <v>200</v>
      </c>
      <c r="G54" s="382">
        <f t="shared" ref="G54" si="29">D54*C54</f>
        <v>2500</v>
      </c>
      <c r="H54" s="383">
        <f t="shared" ref="H54" si="30">(E54-D54)/D54</f>
        <v>0.08</v>
      </c>
      <c r="I54" s="382"/>
      <c r="O54" s="83">
        <v>0.97</v>
      </c>
      <c r="P54" s="83">
        <f t="shared" si="9"/>
        <v>30.3416</v>
      </c>
      <c r="T54" s="93" t="s">
        <v>110</v>
      </c>
      <c r="U54" s="131">
        <v>4871990</v>
      </c>
      <c r="W54" s="133">
        <v>42678</v>
      </c>
      <c r="X54" s="10">
        <v>24.02</v>
      </c>
      <c r="Y54" s="10">
        <v>24.79</v>
      </c>
      <c r="Z54" s="10">
        <v>23.96</v>
      </c>
      <c r="AA54" s="10">
        <v>24.5</v>
      </c>
      <c r="AB54" s="95">
        <v>4357300</v>
      </c>
      <c r="AC54" s="10">
        <v>24.25</v>
      </c>
      <c r="AD54" s="2">
        <f t="shared" si="0"/>
        <v>0.82999999999999829</v>
      </c>
      <c r="AE54" s="138">
        <f t="shared" si="1"/>
        <v>1.4219991635298967E-2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9"/>
        <v>30.0288</v>
      </c>
      <c r="T55" s="93" t="s">
        <v>108</v>
      </c>
      <c r="U55" s="130" t="s">
        <v>521</v>
      </c>
      <c r="W55" s="133">
        <v>42677</v>
      </c>
      <c r="X55" s="10">
        <v>24.58</v>
      </c>
      <c r="Y55" s="10">
        <v>24.65</v>
      </c>
      <c r="Z55" s="10">
        <v>24.07</v>
      </c>
      <c r="AA55" s="10">
        <v>24.15</v>
      </c>
      <c r="AB55" s="95">
        <v>5481700</v>
      </c>
      <c r="AC55" s="10">
        <v>23.91</v>
      </c>
      <c r="AD55" s="2">
        <f t="shared" si="0"/>
        <v>0.57999999999999829</v>
      </c>
      <c r="AE55" s="138">
        <f t="shared" si="1"/>
        <v>-2.3284313725490224E-2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29.716000000000001</v>
      </c>
      <c r="T56" s="93" t="s">
        <v>111</v>
      </c>
      <c r="U56" s="130">
        <v>24.92</v>
      </c>
      <c r="W56" s="133">
        <v>42676</v>
      </c>
      <c r="X56" s="10">
        <v>24.53</v>
      </c>
      <c r="Y56" s="10">
        <v>25.04</v>
      </c>
      <c r="Z56" s="10">
        <v>24.21</v>
      </c>
      <c r="AA56" s="10">
        <v>24.73</v>
      </c>
      <c r="AB56" s="95">
        <v>7180500</v>
      </c>
      <c r="AC56" s="10">
        <v>24.48</v>
      </c>
      <c r="AD56" s="2">
        <f t="shared" si="0"/>
        <v>0.82999999999999829</v>
      </c>
      <c r="AE56" s="138">
        <f t="shared" si="1"/>
        <v>1.6611295681063121E-2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9"/>
        <v>29.403199999999998</v>
      </c>
      <c r="T57" s="93" t="s">
        <v>112</v>
      </c>
      <c r="U57" s="130">
        <v>1.25</v>
      </c>
      <c r="W57" s="133">
        <v>42675</v>
      </c>
      <c r="X57" s="10">
        <v>23.96</v>
      </c>
      <c r="Y57" s="10">
        <v>24.94</v>
      </c>
      <c r="Z57" s="10">
        <v>23.66</v>
      </c>
      <c r="AA57" s="10">
        <v>24.32</v>
      </c>
      <c r="AB57" s="95">
        <v>8046100</v>
      </c>
      <c r="AC57" s="10">
        <v>24.08</v>
      </c>
      <c r="AD57" s="2">
        <f t="shared" si="0"/>
        <v>1.2800000000000011</v>
      </c>
      <c r="AE57" s="138">
        <f t="shared" si="1"/>
        <v>3.3920137398024908E-2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1">C58*(E58-D58)</f>
        <v>4.4999999999999929</v>
      </c>
      <c r="G58" s="262">
        <f t="shared" ref="G58" si="32">D58*C58</f>
        <v>1287</v>
      </c>
      <c r="H58" s="276">
        <f t="shared" ref="H58" si="33">(E58-D58)/D58</f>
        <v>3.4965034965034913E-3</v>
      </c>
      <c r="I58" s="262"/>
      <c r="O58" s="83">
        <v>0.93</v>
      </c>
      <c r="P58" s="83">
        <f t="shared" si="9"/>
        <v>29.090400000000002</v>
      </c>
      <c r="T58" s="93" t="s">
        <v>109</v>
      </c>
      <c r="U58" s="130" t="s">
        <v>522</v>
      </c>
      <c r="W58" s="133">
        <v>42674</v>
      </c>
      <c r="X58" s="10">
        <v>23.72</v>
      </c>
      <c r="Y58" s="10">
        <v>23.9</v>
      </c>
      <c r="Z58" s="10">
        <v>23.26</v>
      </c>
      <c r="AA58" s="10">
        <v>23.53</v>
      </c>
      <c r="AB58" s="95">
        <v>4857100</v>
      </c>
      <c r="AC58" s="10">
        <v>23.29</v>
      </c>
      <c r="AD58" s="2">
        <f t="shared" si="0"/>
        <v>0.63999999999999702</v>
      </c>
      <c r="AE58" s="138">
        <f t="shared" si="1"/>
        <v>-1.1040339702760193E-2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34">C59*(E59-D59)</f>
        <v>-9.9999999999999645</v>
      </c>
      <c r="G59" s="262">
        <f t="shared" ref="G59:G64" si="35">D59*C59</f>
        <v>1287</v>
      </c>
      <c r="H59" s="276">
        <f t="shared" ref="H59:H64" si="36">(E59-D59)/D59</f>
        <v>-7.7700077700077431E-3</v>
      </c>
      <c r="I59" s="262"/>
      <c r="O59" s="83">
        <v>0.92</v>
      </c>
      <c r="P59" s="83">
        <f t="shared" si="9"/>
        <v>28.777600000000003</v>
      </c>
      <c r="W59" s="133">
        <v>42671</v>
      </c>
      <c r="X59" s="10">
        <v>23.99</v>
      </c>
      <c r="Y59" s="10">
        <v>24.29</v>
      </c>
      <c r="Z59" s="10">
        <v>23.53</v>
      </c>
      <c r="AA59" s="10">
        <v>23.79</v>
      </c>
      <c r="AB59" s="95">
        <v>3762700</v>
      </c>
      <c r="AC59" s="10">
        <v>23.55</v>
      </c>
      <c r="AD59" s="2">
        <f t="shared" si="0"/>
        <v>0.75999999999999801</v>
      </c>
      <c r="AE59" s="138">
        <f t="shared" si="1"/>
        <v>-5.9096665259603665E-3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34"/>
        <v>-45.999999999999908</v>
      </c>
      <c r="G60" s="262">
        <f t="shared" si="35"/>
        <v>1287</v>
      </c>
      <c r="H60" s="276">
        <f t="shared" si="36"/>
        <v>-3.5742035742035674E-2</v>
      </c>
      <c r="I60" s="262"/>
      <c r="O60" s="83">
        <v>0.91</v>
      </c>
      <c r="P60" s="83">
        <f t="shared" si="9"/>
        <v>28.4648</v>
      </c>
      <c r="W60" s="133">
        <v>42670</v>
      </c>
      <c r="X60" s="10">
        <v>25</v>
      </c>
      <c r="Y60" s="10">
        <v>25.07</v>
      </c>
      <c r="Z60" s="10">
        <v>23.83</v>
      </c>
      <c r="AA60" s="10">
        <v>23.93</v>
      </c>
      <c r="AB60" s="95">
        <v>5462100</v>
      </c>
      <c r="AC60" s="10">
        <v>23.69</v>
      </c>
      <c r="AD60" s="2">
        <f t="shared" si="0"/>
        <v>1.240000000000002</v>
      </c>
      <c r="AE60" s="138">
        <f t="shared" si="1"/>
        <v>-3.5816035816035763E-2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34"/>
        <v>-82.000000000000028</v>
      </c>
      <c r="G61" s="262">
        <f t="shared" si="35"/>
        <v>2496</v>
      </c>
      <c r="H61" s="276">
        <f t="shared" si="36"/>
        <v>-3.2852564102564111E-2</v>
      </c>
      <c r="I61" s="262"/>
      <c r="O61" s="83">
        <v>0.9</v>
      </c>
      <c r="P61" s="83">
        <f t="shared" si="9"/>
        <v>28.152000000000001</v>
      </c>
      <c r="W61" s="133">
        <v>42669</v>
      </c>
      <c r="X61" s="10">
        <v>24.51</v>
      </c>
      <c r="Y61" s="10">
        <v>24.97</v>
      </c>
      <c r="Z61" s="10">
        <v>24.36</v>
      </c>
      <c r="AA61" s="10">
        <v>24.82</v>
      </c>
      <c r="AB61" s="95">
        <v>3447800</v>
      </c>
      <c r="AC61" s="10">
        <v>24.57</v>
      </c>
      <c r="AD61" s="2">
        <f t="shared" si="0"/>
        <v>0.60999999999999943</v>
      </c>
      <c r="AE61" s="138">
        <f t="shared" si="1"/>
        <v>9.0349075975357795E-3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34"/>
        <v>-99.000000000000028</v>
      </c>
      <c r="G62" s="262">
        <f t="shared" si="35"/>
        <v>3720</v>
      </c>
      <c r="H62" s="276">
        <f t="shared" si="36"/>
        <v>-2.6612903225806457E-2</v>
      </c>
      <c r="I62" s="262"/>
      <c r="W62" s="133">
        <v>42668</v>
      </c>
      <c r="X62" s="10">
        <v>24.58</v>
      </c>
      <c r="Y62" s="10">
        <v>24.83</v>
      </c>
      <c r="Z62" s="10">
        <v>24.35</v>
      </c>
      <c r="AA62" s="10">
        <v>24.6</v>
      </c>
      <c r="AB62" s="95">
        <v>3515100</v>
      </c>
      <c r="AC62" s="10">
        <v>24.35</v>
      </c>
      <c r="AD62" s="2">
        <f t="shared" si="0"/>
        <v>0.47999999999999687</v>
      </c>
      <c r="AE62" s="138">
        <f t="shared" si="1"/>
        <v>3.7098103874690924E-3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34"/>
        <v>-121.50000000000034</v>
      </c>
      <c r="G63" s="262">
        <f t="shared" si="35"/>
        <v>3720</v>
      </c>
      <c r="H63" s="276">
        <f t="shared" si="36"/>
        <v>-3.2661290322580736E-2</v>
      </c>
      <c r="I63" s="262"/>
      <c r="W63" s="133">
        <v>42667</v>
      </c>
      <c r="X63" s="10">
        <v>24.4</v>
      </c>
      <c r="Y63" s="10">
        <v>24.54</v>
      </c>
      <c r="Z63" s="10">
        <v>24.17</v>
      </c>
      <c r="AA63" s="10">
        <v>24.51</v>
      </c>
      <c r="AB63" s="95">
        <v>3094200</v>
      </c>
      <c r="AC63" s="10">
        <v>24.26</v>
      </c>
      <c r="AD63" s="2">
        <f t="shared" si="0"/>
        <v>0.36999999999999744</v>
      </c>
      <c r="AE63" s="138">
        <f t="shared" si="1"/>
        <v>7.8936435396759208E-3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34"/>
        <v>-50.999999999999979</v>
      </c>
      <c r="G64" s="262">
        <f t="shared" si="35"/>
        <v>3720</v>
      </c>
      <c r="H64" s="276">
        <f t="shared" si="36"/>
        <v>-1.3709677419354832E-2</v>
      </c>
      <c r="I64" s="262"/>
      <c r="W64" s="133">
        <v>42664</v>
      </c>
      <c r="X64" s="10">
        <v>24.52</v>
      </c>
      <c r="Y64" s="10">
        <v>24.76</v>
      </c>
      <c r="Z64" s="10">
        <v>24.15</v>
      </c>
      <c r="AA64" s="10">
        <v>24.31</v>
      </c>
      <c r="AB64" s="95">
        <v>4099700</v>
      </c>
      <c r="AC64" s="10">
        <v>24.07</v>
      </c>
      <c r="AD64" s="2">
        <f t="shared" si="0"/>
        <v>0.61000000000000298</v>
      </c>
      <c r="AE64" s="138">
        <f t="shared" si="1"/>
        <v>-1.5139116202946057E-2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37">C65*(E65-D65)</f>
        <v>13.499999999999979</v>
      </c>
      <c r="G65" s="262">
        <f t="shared" ref="G65" si="38">D65*C65</f>
        <v>3720</v>
      </c>
      <c r="H65" s="276">
        <f t="shared" ref="H65" si="39">(E65-D65)/D65</f>
        <v>3.6290322580645102E-3</v>
      </c>
      <c r="I65" s="262"/>
      <c r="W65" s="133">
        <v>42663</v>
      </c>
      <c r="X65" s="10">
        <v>23.7</v>
      </c>
      <c r="Y65" s="10">
        <v>24.85</v>
      </c>
      <c r="Z65" s="10">
        <v>23.59</v>
      </c>
      <c r="AA65" s="10">
        <v>24.69</v>
      </c>
      <c r="AB65" s="95">
        <v>8721000</v>
      </c>
      <c r="AC65" s="10">
        <v>24.44</v>
      </c>
      <c r="AD65" s="2">
        <f t="shared" si="0"/>
        <v>1.2600000000000016</v>
      </c>
      <c r="AE65" s="138">
        <f t="shared" si="1"/>
        <v>3.5593220338983045E-2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0">C66*(E66-D66)</f>
        <v>40.499999999999936</v>
      </c>
      <c r="G66" s="262">
        <f t="shared" ref="G66" si="41">D66*C66</f>
        <v>3720</v>
      </c>
      <c r="H66" s="276">
        <f t="shared" ref="H66" si="42">(E66-D66)/D66</f>
        <v>1.0887096774193531E-2</v>
      </c>
      <c r="I66" s="262"/>
      <c r="W66" s="133">
        <v>42662</v>
      </c>
      <c r="X66" s="10">
        <v>23.28</v>
      </c>
      <c r="Y66" s="10">
        <v>23.94</v>
      </c>
      <c r="Z66" s="10">
        <v>23.22</v>
      </c>
      <c r="AA66" s="10">
        <v>23.84</v>
      </c>
      <c r="AB66" s="95">
        <v>5508900</v>
      </c>
      <c r="AC66" s="10">
        <v>23.6</v>
      </c>
      <c r="AD66" s="2">
        <f t="shared" si="0"/>
        <v>0.72000000000000242</v>
      </c>
      <c r="AE66" s="138">
        <f t="shared" si="1"/>
        <v>1.9438444924406273E-2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3">C67*(E67-D67)</f>
        <v>7.5000000000001066</v>
      </c>
      <c r="G67" s="262">
        <f t="shared" ref="G67" si="44">D67*C67</f>
        <v>3720</v>
      </c>
      <c r="H67" s="276">
        <f t="shared" ref="H67" si="45">(E67-D67)/D67</f>
        <v>2.0161290322580931E-3</v>
      </c>
      <c r="I67" s="262"/>
      <c r="W67" s="133">
        <v>42661</v>
      </c>
      <c r="X67" s="10">
        <v>23.11</v>
      </c>
      <c r="Y67" s="10">
        <v>23.54</v>
      </c>
      <c r="Z67" s="10">
        <v>22.83</v>
      </c>
      <c r="AA67" s="10">
        <v>23.39</v>
      </c>
      <c r="AB67" s="95">
        <v>4209000</v>
      </c>
      <c r="AC67" s="10">
        <v>23.15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46">C68*(E68-D68)</f>
        <v>-33.000000000000362</v>
      </c>
      <c r="G68" s="262">
        <f t="shared" ref="G68" si="47">D68*C68</f>
        <v>3720</v>
      </c>
      <c r="H68" s="276">
        <f t="shared" ref="H68" si="48">(E68-D68)/D68</f>
        <v>-8.8709677419355811E-3</v>
      </c>
      <c r="I68" s="262"/>
      <c r="W68" s="133">
        <v>42660</v>
      </c>
      <c r="X68" s="10">
        <v>23.16</v>
      </c>
      <c r="Y68" s="10">
        <v>23.28</v>
      </c>
      <c r="Z68" s="10">
        <v>22.8</v>
      </c>
      <c r="AA68" s="10">
        <v>22.83</v>
      </c>
      <c r="AB68" s="95">
        <v>4035500</v>
      </c>
      <c r="AC68" s="10">
        <v>22.6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49">C69*(E69-D69)</f>
        <v>-211.50000000000003</v>
      </c>
      <c r="G69" s="262">
        <f t="shared" ref="G69" si="50">D69*C69</f>
        <v>3720</v>
      </c>
      <c r="H69" s="276">
        <f t="shared" ref="H69" si="51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2">C70*(E70-D70)</f>
        <v>-144.00000000000011</v>
      </c>
      <c r="G70" s="262">
        <f t="shared" ref="G70" si="53">D70*C70</f>
        <v>3720</v>
      </c>
      <c r="H70" s="276">
        <f t="shared" ref="H70" si="54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55">C71*(E71-D71)</f>
        <v>-73.500000000000298</v>
      </c>
      <c r="G71" s="262">
        <f t="shared" ref="G71:G72" si="56">D71*C71</f>
        <v>3720</v>
      </c>
      <c r="H71" s="276">
        <f t="shared" ref="H71:H72" si="57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55"/>
        <v>-104.53499999999991</v>
      </c>
      <c r="G72" s="262">
        <f t="shared" si="56"/>
        <v>3694.0349999999999</v>
      </c>
      <c r="H72" s="276">
        <f t="shared" si="57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58">C73*(E73-D73)</f>
        <v>-164.53499999999968</v>
      </c>
      <c r="G73" s="262">
        <f t="shared" ref="G73:G74" si="59">D73*C73</f>
        <v>3694.0349999999999</v>
      </c>
      <c r="H73" s="276">
        <f t="shared" ref="H73:H74" si="60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58"/>
        <v>8.2949999999998525</v>
      </c>
      <c r="G74" s="262">
        <f t="shared" si="59"/>
        <v>3639.7050000000004</v>
      </c>
      <c r="H74" s="276">
        <f t="shared" si="60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1">C75*(E75-D75)</f>
        <v>69.794999999999874</v>
      </c>
      <c r="G75" s="262">
        <f t="shared" ref="G75:G76" si="62">D75*C75</f>
        <v>3639.7050000000004</v>
      </c>
      <c r="H75" s="276">
        <f t="shared" ref="H75:H76" si="63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1"/>
        <v>589.25999999999976</v>
      </c>
      <c r="G76" s="262">
        <f t="shared" si="62"/>
        <v>2250.7400000000002</v>
      </c>
      <c r="H76" s="276">
        <f t="shared" si="63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1052.33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234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459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459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459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459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459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500</v>
      </c>
      <c r="D102" s="66"/>
      <c r="E102" s="66"/>
      <c r="F102" s="66">
        <f>SUM(F86:F101)</f>
        <v>12675.630000000001</v>
      </c>
      <c r="G102" s="65"/>
      <c r="H102" s="589">
        <f>SUM(H86:H101)</f>
        <v>500</v>
      </c>
      <c r="I102" s="66"/>
      <c r="J102" s="66"/>
      <c r="K102" s="66">
        <f>SUM(K86:K101)</f>
        <v>13686.710000000001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64">SumByColor($A$19,M86:M101)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1" priority="31">
      <formula>F55&gt;0</formula>
    </cfRule>
    <cfRule type="expression" dxfId="590" priority="32">
      <formula>F55&lt;0</formula>
    </cfRule>
  </conditionalFormatting>
  <conditionalFormatting sqref="Q7">
    <cfRule type="expression" dxfId="589" priority="19">
      <formula>Q7&gt;0</formula>
    </cfRule>
    <cfRule type="expression" dxfId="588" priority="20">
      <formula>Q7&lt;0</formula>
    </cfRule>
  </conditionalFormatting>
  <conditionalFormatting sqref="Q8">
    <cfRule type="expression" dxfId="587" priority="17">
      <formula>Q8&gt;0</formula>
    </cfRule>
    <cfRule type="expression" dxfId="586" priority="18">
      <formula>Q8&lt;0</formula>
    </cfRule>
  </conditionalFormatting>
  <conditionalFormatting sqref="F42:F54">
    <cfRule type="expression" dxfId="585" priority="15">
      <formula>F42&gt;0</formula>
    </cfRule>
    <cfRule type="expression" dxfId="584" priority="16">
      <formula>F42&lt;0</formula>
    </cfRule>
  </conditionalFormatting>
  <conditionalFormatting sqref="H42:H54">
    <cfRule type="expression" dxfId="583" priority="13">
      <formula>H42&gt;0</formula>
    </cfRule>
    <cfRule type="expression" dxfId="582" priority="14">
      <formula>H42&lt;0</formula>
    </cfRule>
  </conditionalFormatting>
  <conditionalFormatting sqref="H58:H61">
    <cfRule type="expression" dxfId="581" priority="9">
      <formula>H58&gt;0</formula>
    </cfRule>
    <cfRule type="expression" dxfId="580" priority="10">
      <formula>H58&lt;0</formula>
    </cfRule>
  </conditionalFormatting>
  <conditionalFormatting sqref="F58:F61">
    <cfRule type="expression" dxfId="579" priority="11">
      <formula>F58&gt;0</formula>
    </cfRule>
    <cfRule type="expression" dxfId="578" priority="12">
      <formula>F58&lt;0</formula>
    </cfRule>
  </conditionalFormatting>
  <conditionalFormatting sqref="M84">
    <cfRule type="expression" dxfId="577" priority="7">
      <formula>M84&gt;0</formula>
    </cfRule>
    <cfRule type="expression" dxfId="576" priority="8">
      <formula>M84&lt;0</formula>
    </cfRule>
  </conditionalFormatting>
  <conditionalFormatting sqref="F23:F36">
    <cfRule type="expression" dxfId="575" priority="5">
      <formula>F23&gt;0</formula>
    </cfRule>
    <cfRule type="expression" dxfId="574" priority="6">
      <formula>F23&lt;0</formula>
    </cfRule>
  </conditionalFormatting>
  <conditionalFormatting sqref="H23:H36">
    <cfRule type="expression" dxfId="573" priority="3">
      <formula>H23&gt;0</formula>
    </cfRule>
    <cfRule type="expression" dxfId="572" priority="4">
      <formula>H23&lt;0</formula>
    </cfRule>
  </conditionalFormatting>
  <conditionalFormatting sqref="Q10">
    <cfRule type="expression" dxfId="571" priority="1">
      <formula>Q10&gt;0</formula>
    </cfRule>
    <cfRule type="expression" dxfId="570" priority="2">
      <formula>Q10&lt;0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48.84</v>
      </c>
      <c r="Y2" s="10">
        <v>49.03</v>
      </c>
      <c r="Z2" s="10">
        <v>48.83</v>
      </c>
      <c r="AA2" s="10">
        <v>49</v>
      </c>
      <c r="AB2" s="95">
        <v>3667100</v>
      </c>
      <c r="AC2" s="10">
        <v>49</v>
      </c>
      <c r="AD2" s="2">
        <f>Y2-Z2</f>
        <v>0.20000000000000284</v>
      </c>
      <c r="AE2" s="138">
        <f>AC2/AC3-1</f>
        <v>5.5407346603735252E-3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</v>
      </c>
      <c r="T3" s="1"/>
      <c r="W3" s="133">
        <v>42754</v>
      </c>
      <c r="X3" s="10">
        <v>48.73</v>
      </c>
      <c r="Y3" s="10">
        <v>48.82</v>
      </c>
      <c r="Z3" s="10">
        <v>48.56</v>
      </c>
      <c r="AA3" s="10">
        <v>48.73</v>
      </c>
      <c r="AB3" s="95">
        <v>3592900</v>
      </c>
      <c r="AC3" s="10">
        <v>48.73</v>
      </c>
      <c r="AD3" s="2">
        <f t="shared" ref="AD3:AD66" si="0">Y3-Z3</f>
        <v>0.25999999999999801</v>
      </c>
      <c r="AE3" s="138">
        <f t="shared" ref="AE3:AE66" si="1">AC3/AC4-1</f>
        <v>-2.0479213598197932E-3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</v>
      </c>
      <c r="R4" s="505">
        <v>5.4999999999999997E-3</v>
      </c>
      <c r="T4" s="163"/>
      <c r="U4" s="1"/>
      <c r="W4" s="133">
        <v>42753</v>
      </c>
      <c r="X4" s="10">
        <v>48.88</v>
      </c>
      <c r="Y4" s="10">
        <v>49</v>
      </c>
      <c r="Z4" s="10">
        <v>48.73</v>
      </c>
      <c r="AA4" s="10">
        <v>48.83</v>
      </c>
      <c r="AB4" s="95">
        <v>2556500</v>
      </c>
      <c r="AC4" s="10">
        <v>48.83</v>
      </c>
      <c r="AD4" s="2">
        <f t="shared" si="0"/>
        <v>0.27000000000000313</v>
      </c>
      <c r="AE4" s="138">
        <f t="shared" si="1"/>
        <v>-4.0791352233326972E-3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49.04</v>
      </c>
      <c r="Y5" s="10">
        <v>49.12</v>
      </c>
      <c r="Z5" s="10">
        <v>48.97</v>
      </c>
      <c r="AA5" s="10">
        <v>49.03</v>
      </c>
      <c r="AB5" s="95">
        <v>4644000</v>
      </c>
      <c r="AC5" s="10">
        <v>49.03</v>
      </c>
      <c r="AD5" s="2">
        <f t="shared" si="0"/>
        <v>0.14999999999999858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49.03</v>
      </c>
      <c r="Y6" s="10">
        <v>49.09</v>
      </c>
      <c r="Z6" s="10">
        <v>48.89</v>
      </c>
      <c r="AA6" s="10">
        <v>49.03</v>
      </c>
      <c r="AB6" s="95">
        <v>2791500</v>
      </c>
      <c r="AC6" s="10">
        <v>49.03</v>
      </c>
      <c r="AD6" s="2">
        <f t="shared" si="0"/>
        <v>0.20000000000000284</v>
      </c>
      <c r="AE6" s="138">
        <f t="shared" si="1"/>
        <v>4.3015157722245956E-3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42747</v>
      </c>
      <c r="X7" s="10">
        <v>48.88</v>
      </c>
      <c r="Y7" s="10">
        <v>48.98</v>
      </c>
      <c r="Z7" s="10">
        <v>48.73</v>
      </c>
      <c r="AA7" s="10">
        <v>48.82</v>
      </c>
      <c r="AB7" s="95">
        <v>6740600</v>
      </c>
      <c r="AC7" s="10">
        <v>48.82</v>
      </c>
      <c r="AD7" s="2">
        <f t="shared" si="0"/>
        <v>0.25</v>
      </c>
      <c r="AE7" s="138">
        <f t="shared" si="1"/>
        <v>1.0252204223908379E-3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48.41</v>
      </c>
      <c r="Y8" s="10">
        <v>48.81</v>
      </c>
      <c r="Z8" s="10">
        <v>48.32</v>
      </c>
      <c r="AA8" s="10">
        <v>48.77</v>
      </c>
      <c r="AB8" s="95">
        <v>4040400</v>
      </c>
      <c r="AC8" s="10">
        <v>48.77</v>
      </c>
      <c r="AD8" s="2">
        <f t="shared" si="0"/>
        <v>0.49000000000000199</v>
      </c>
      <c r="AE8" s="138">
        <f t="shared" si="1"/>
        <v>5.1525144270403445E-3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48.55</v>
      </c>
      <c r="Y9" s="10">
        <v>48.71</v>
      </c>
      <c r="Z9" s="10">
        <v>48.52</v>
      </c>
      <c r="AA9" s="10">
        <v>48.52</v>
      </c>
      <c r="AB9" s="95">
        <v>2660800</v>
      </c>
      <c r="AC9" s="10">
        <v>48.52</v>
      </c>
      <c r="AD9" s="2">
        <f t="shared" si="0"/>
        <v>0.18999999999999773</v>
      </c>
      <c r="AE9" s="138">
        <f t="shared" si="1"/>
        <v>-2.0605810838647542E-4</v>
      </c>
    </row>
    <row r="10" spans="1:31" x14ac:dyDescent="0.25">
      <c r="H10" s="72"/>
      <c r="O10" s="11" t="s">
        <v>214</v>
      </c>
      <c r="P10" s="34"/>
      <c r="Q10" s="2">
        <f>M53</f>
        <v>257.64999999999964</v>
      </c>
      <c r="W10" s="133">
        <v>42744</v>
      </c>
      <c r="X10" s="10">
        <v>48.41</v>
      </c>
      <c r="Y10" s="10">
        <v>48.59</v>
      </c>
      <c r="Z10" s="10">
        <v>48.32</v>
      </c>
      <c r="AA10" s="10">
        <v>48.53</v>
      </c>
      <c r="AB10" s="95">
        <v>2341400</v>
      </c>
      <c r="AC10" s="10">
        <v>48.53</v>
      </c>
      <c r="AD10" s="2">
        <f t="shared" si="0"/>
        <v>0.27000000000000313</v>
      </c>
      <c r="AE10" s="138">
        <f t="shared" si="1"/>
        <v>-3.4907597535934753E-3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42741</v>
      </c>
      <c r="X11" s="10">
        <v>48.68</v>
      </c>
      <c r="Y11" s="10">
        <v>48.82</v>
      </c>
      <c r="Z11" s="10">
        <v>48.62</v>
      </c>
      <c r="AA11" s="10">
        <v>48.7</v>
      </c>
      <c r="AB11" s="95">
        <v>2808900</v>
      </c>
      <c r="AC11" s="10">
        <v>48.7</v>
      </c>
      <c r="AD11" s="2">
        <f t="shared" si="0"/>
        <v>0.20000000000000284</v>
      </c>
      <c r="AE11" s="138">
        <f t="shared" si="1"/>
        <v>-4.903964037596964E-3</v>
      </c>
    </row>
    <row r="12" spans="1:31" x14ac:dyDescent="0.25">
      <c r="H12" s="72"/>
      <c r="W12" s="133">
        <v>42740</v>
      </c>
      <c r="X12" s="10">
        <v>48.58</v>
      </c>
      <c r="Y12" s="10">
        <v>49</v>
      </c>
      <c r="Z12" s="10">
        <v>48.58</v>
      </c>
      <c r="AA12" s="10">
        <v>48.94</v>
      </c>
      <c r="AB12" s="95">
        <v>5147600</v>
      </c>
      <c r="AC12" s="10">
        <v>48.94</v>
      </c>
      <c r="AD12" s="2">
        <f t="shared" si="0"/>
        <v>0.42000000000000171</v>
      </c>
      <c r="AE12" s="138">
        <f t="shared" si="1"/>
        <v>9.0721649484535316E-3</v>
      </c>
    </row>
    <row r="13" spans="1:31" x14ac:dyDescent="0.25">
      <c r="H13" s="72"/>
      <c r="W13" s="133">
        <v>42739</v>
      </c>
      <c r="X13" s="10">
        <v>48.21</v>
      </c>
      <c r="Y13" s="10">
        <v>48.5</v>
      </c>
      <c r="Z13" s="10">
        <v>48.13</v>
      </c>
      <c r="AA13" s="10">
        <v>48.5</v>
      </c>
      <c r="AB13" s="95">
        <v>2781900</v>
      </c>
      <c r="AC13" s="10">
        <v>48.5</v>
      </c>
      <c r="AD13" s="2">
        <f t="shared" si="0"/>
        <v>0.36999999999999744</v>
      </c>
      <c r="AE13" s="138">
        <f t="shared" si="1"/>
        <v>8.3160083160083165E-3</v>
      </c>
    </row>
    <row r="14" spans="1:31" x14ac:dyDescent="0.25">
      <c r="H14" s="72"/>
      <c r="W14" s="133">
        <v>42738</v>
      </c>
      <c r="X14" s="10">
        <v>48.01</v>
      </c>
      <c r="Y14" s="10">
        <v>48.14</v>
      </c>
      <c r="Z14" s="10">
        <v>47.94</v>
      </c>
      <c r="AA14" s="10">
        <v>48.1</v>
      </c>
      <c r="AB14" s="95">
        <v>3816500</v>
      </c>
      <c r="AC14" s="10">
        <v>48.1</v>
      </c>
      <c r="AD14" s="2">
        <f t="shared" si="0"/>
        <v>0.20000000000000284</v>
      </c>
      <c r="AE14" s="138">
        <f t="shared" si="1"/>
        <v>3.3375052148518769E-3</v>
      </c>
    </row>
    <row r="15" spans="1:31" x14ac:dyDescent="0.25">
      <c r="H15" s="72"/>
      <c r="W15" s="133">
        <v>42734</v>
      </c>
      <c r="X15" s="10">
        <v>48.11</v>
      </c>
      <c r="Y15" s="10">
        <v>48.21</v>
      </c>
      <c r="Z15" s="10">
        <v>47.83</v>
      </c>
      <c r="AA15" s="10">
        <v>47.94</v>
      </c>
      <c r="AB15" s="95">
        <v>4786600</v>
      </c>
      <c r="AC15" s="10">
        <v>47.94</v>
      </c>
      <c r="AD15" s="2">
        <f t="shared" si="0"/>
        <v>0.38000000000000256</v>
      </c>
      <c r="AE15" s="138">
        <f t="shared" si="1"/>
        <v>5.4530201342282147E-3</v>
      </c>
    </row>
    <row r="16" spans="1:31" x14ac:dyDescent="0.25">
      <c r="H16" s="72"/>
      <c r="W16" s="133">
        <v>42733</v>
      </c>
      <c r="X16" s="10">
        <v>47.56</v>
      </c>
      <c r="Y16" s="10">
        <v>47.73</v>
      </c>
      <c r="Z16" s="10">
        <v>47.56</v>
      </c>
      <c r="AA16" s="10">
        <v>47.68</v>
      </c>
      <c r="AB16" s="95">
        <v>4123900</v>
      </c>
      <c r="AC16" s="10">
        <v>47.68</v>
      </c>
      <c r="AD16" s="2">
        <f t="shared" si="0"/>
        <v>0.1699999999999946</v>
      </c>
      <c r="AE16" s="138">
        <f t="shared" si="1"/>
        <v>6.9693769799366034E-3</v>
      </c>
    </row>
    <row r="17" spans="1:31" x14ac:dyDescent="0.25">
      <c r="W17" s="133">
        <v>42732</v>
      </c>
      <c r="X17" s="10">
        <v>47.45</v>
      </c>
      <c r="Y17" s="10">
        <v>47.5</v>
      </c>
      <c r="Z17" s="10">
        <v>47.27</v>
      </c>
      <c r="AA17" s="10">
        <v>47.35</v>
      </c>
      <c r="AB17" s="95">
        <v>2599500</v>
      </c>
      <c r="AC17" s="10">
        <v>47.35</v>
      </c>
      <c r="AD17" s="2">
        <f t="shared" si="0"/>
        <v>0.22999999999999687</v>
      </c>
      <c r="AE17" s="138">
        <f t="shared" si="1"/>
        <v>-6.2959076600209718E-3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47.61</v>
      </c>
      <c r="Y18" s="10">
        <v>47.7</v>
      </c>
      <c r="Z18" s="10">
        <v>47.59</v>
      </c>
      <c r="AA18" s="10">
        <v>47.65</v>
      </c>
      <c r="AB18" s="95">
        <v>2252200</v>
      </c>
      <c r="AC18" s="10">
        <v>47.65</v>
      </c>
      <c r="AD18" s="2">
        <f t="shared" si="0"/>
        <v>0.10999999999999943</v>
      </c>
      <c r="AE18" s="138">
        <f t="shared" si="1"/>
        <v>1.4712063892392546E-3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47.42</v>
      </c>
      <c r="Y19" s="10">
        <v>47.58</v>
      </c>
      <c r="Z19" s="10">
        <v>47.41</v>
      </c>
      <c r="AA19" s="10">
        <v>47.58</v>
      </c>
      <c r="AB19" s="95">
        <v>2410700</v>
      </c>
      <c r="AC19" s="10">
        <v>47.58</v>
      </c>
      <c r="AD19" s="2">
        <f t="shared" si="0"/>
        <v>0.17000000000000171</v>
      </c>
      <c r="AE19" s="138">
        <f t="shared" si="1"/>
        <v>4.0092846592107989E-3</v>
      </c>
    </row>
    <row r="20" spans="1:31" x14ac:dyDescent="0.25">
      <c r="W20" s="133">
        <v>42726</v>
      </c>
      <c r="X20" s="10">
        <v>47.5</v>
      </c>
      <c r="Y20" s="10">
        <v>47.59</v>
      </c>
      <c r="Z20" s="10">
        <v>47.35</v>
      </c>
      <c r="AA20" s="10">
        <v>47.39</v>
      </c>
      <c r="AB20" s="95">
        <v>3123900</v>
      </c>
      <c r="AC20" s="10">
        <v>47.39</v>
      </c>
      <c r="AD20" s="2">
        <f t="shared" si="0"/>
        <v>0.24000000000000199</v>
      </c>
      <c r="AE20" s="138">
        <f t="shared" si="1"/>
        <v>-1.8955349620892736E-3</v>
      </c>
    </row>
    <row r="21" spans="1:31" x14ac:dyDescent="0.25">
      <c r="W21" s="133">
        <v>42725</v>
      </c>
      <c r="X21" s="10">
        <v>47.47</v>
      </c>
      <c r="Y21" s="10">
        <v>47.54</v>
      </c>
      <c r="Z21" s="10">
        <v>47.43</v>
      </c>
      <c r="AA21" s="10">
        <v>47.48</v>
      </c>
      <c r="AB21" s="95">
        <v>5485700</v>
      </c>
      <c r="AC21" s="10">
        <v>47.48</v>
      </c>
      <c r="AD21" s="2">
        <f t="shared" si="0"/>
        <v>0.10999999999999943</v>
      </c>
      <c r="AE21" s="138">
        <f t="shared" si="1"/>
        <v>2.5337837837837718E-3</v>
      </c>
    </row>
    <row r="22" spans="1:31" x14ac:dyDescent="0.25">
      <c r="W22" s="133">
        <v>42724</v>
      </c>
      <c r="X22" s="10">
        <v>47.27</v>
      </c>
      <c r="Y22" s="10">
        <v>47.42</v>
      </c>
      <c r="Z22" s="10">
        <v>47.21</v>
      </c>
      <c r="AA22" s="10">
        <v>47.36</v>
      </c>
      <c r="AB22" s="95">
        <v>4269700</v>
      </c>
      <c r="AC22" s="10">
        <v>47.36</v>
      </c>
      <c r="AD22" s="2">
        <f t="shared" si="0"/>
        <v>0.21000000000000085</v>
      </c>
      <c r="AE22" s="138" t="e">
        <f t="shared" si="1"/>
        <v>#DIV/0!</v>
      </c>
    </row>
    <row r="23" spans="1:31" x14ac:dyDescent="0.25">
      <c r="W23" s="133">
        <v>42724</v>
      </c>
      <c r="X23" s="10" t="s">
        <v>386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47.55</v>
      </c>
      <c r="Y24" s="10">
        <v>47.71</v>
      </c>
      <c r="Z24" s="10">
        <v>47.44</v>
      </c>
      <c r="AA24" s="10">
        <v>47.46</v>
      </c>
      <c r="AB24" s="95">
        <v>5669000</v>
      </c>
      <c r="AC24" s="10">
        <v>47.23</v>
      </c>
      <c r="AD24" s="2">
        <f t="shared" si="0"/>
        <v>0.27000000000000313</v>
      </c>
      <c r="AE24" s="138">
        <f t="shared" si="1"/>
        <v>-3.5864978902954148E-3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42720</v>
      </c>
      <c r="X25" s="10">
        <v>47.52</v>
      </c>
      <c r="Y25" s="10">
        <v>47.78</v>
      </c>
      <c r="Z25" s="10">
        <v>47.47</v>
      </c>
      <c r="AA25" s="10">
        <v>47.63</v>
      </c>
      <c r="AB25" s="95">
        <v>3755800</v>
      </c>
      <c r="AC25" s="10">
        <v>47.4</v>
      </c>
      <c r="AD25" s="2">
        <f t="shared" si="0"/>
        <v>0.31000000000000227</v>
      </c>
      <c r="AE25" s="138">
        <f t="shared" si="1"/>
        <v>5.0890585241729624E-3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42719</v>
      </c>
      <c r="X26" s="10">
        <v>47.35</v>
      </c>
      <c r="Y26" s="10">
        <v>47.46</v>
      </c>
      <c r="Z26" s="10">
        <v>47.26</v>
      </c>
      <c r="AA26" s="10">
        <v>47.39</v>
      </c>
      <c r="AB26" s="95">
        <v>3651200</v>
      </c>
      <c r="AC26" s="10">
        <v>47.16</v>
      </c>
      <c r="AD26" s="2">
        <f t="shared" si="0"/>
        <v>0.20000000000000284</v>
      </c>
      <c r="AE26" s="138">
        <f t="shared" si="1"/>
        <v>-6.3572790845523031E-4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42718</v>
      </c>
      <c r="X27" s="10">
        <v>48.05</v>
      </c>
      <c r="Y27" s="10">
        <v>48.23</v>
      </c>
      <c r="Z27" s="10">
        <v>47.36</v>
      </c>
      <c r="AA27" s="10">
        <v>47.42</v>
      </c>
      <c r="AB27" s="95">
        <v>4537100</v>
      </c>
      <c r="AC27" s="10">
        <v>47.19</v>
      </c>
      <c r="AD27" s="2">
        <f t="shared" si="0"/>
        <v>0.86999999999999744</v>
      </c>
      <c r="AE27" s="138">
        <f t="shared" si="1"/>
        <v>-1.5644555694618312E-2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42717</v>
      </c>
      <c r="X28" s="10">
        <v>47.99</v>
      </c>
      <c r="Y28" s="10">
        <v>48.33</v>
      </c>
      <c r="Z28" s="10">
        <v>47.99</v>
      </c>
      <c r="AA28" s="10">
        <v>48.17</v>
      </c>
      <c r="AB28" s="95">
        <v>3382000</v>
      </c>
      <c r="AC28" s="10">
        <v>47.94</v>
      </c>
      <c r="AD28" s="2">
        <f t="shared" si="0"/>
        <v>0.33999999999999631</v>
      </c>
      <c r="AE28" s="138">
        <f t="shared" si="1"/>
        <v>1.0752688172043001E-2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42716</v>
      </c>
      <c r="X29" s="10">
        <v>47.57</v>
      </c>
      <c r="Y29" s="10">
        <v>47.8</v>
      </c>
      <c r="Z29" s="10">
        <v>47.52</v>
      </c>
      <c r="AA29" s="10">
        <v>47.66</v>
      </c>
      <c r="AB29" s="95">
        <v>2894400</v>
      </c>
      <c r="AC29" s="10">
        <v>47.43</v>
      </c>
      <c r="AD29" s="2">
        <f t="shared" si="0"/>
        <v>0.27999999999999403</v>
      </c>
      <c r="AE29" s="138">
        <f t="shared" si="1"/>
        <v>-1.4736842105262937E-3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42713</v>
      </c>
      <c r="X30" s="10">
        <v>47.53</v>
      </c>
      <c r="Y30" s="10">
        <v>47.74</v>
      </c>
      <c r="Z30" s="10">
        <v>47.44</v>
      </c>
      <c r="AA30" s="10">
        <v>47.73</v>
      </c>
      <c r="AB30" s="95">
        <v>3177200</v>
      </c>
      <c r="AC30" s="10">
        <v>47.5</v>
      </c>
      <c r="AD30" s="2">
        <f t="shared" si="0"/>
        <v>0.30000000000000426</v>
      </c>
      <c r="AE30" s="138">
        <f t="shared" si="1"/>
        <v>5.5038103302285091E-3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42712</v>
      </c>
      <c r="X31" s="10">
        <v>47.48</v>
      </c>
      <c r="Y31" s="10">
        <v>47.55</v>
      </c>
      <c r="Z31" s="10">
        <v>47.3</v>
      </c>
      <c r="AA31" s="10">
        <v>47.47</v>
      </c>
      <c r="AB31" s="95">
        <v>5131300</v>
      </c>
      <c r="AC31" s="10">
        <v>47.24</v>
      </c>
      <c r="AD31" s="2">
        <f t="shared" si="0"/>
        <v>0.25</v>
      </c>
      <c r="AE31" s="138">
        <f t="shared" si="1"/>
        <v>-5.8922558922559487E-3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42711</v>
      </c>
      <c r="X32" s="10">
        <v>47.19</v>
      </c>
      <c r="Y32" s="10">
        <v>47.86</v>
      </c>
      <c r="Z32" s="10">
        <v>47.19</v>
      </c>
      <c r="AA32" s="10">
        <v>47.75</v>
      </c>
      <c r="AB32" s="95">
        <v>3526900</v>
      </c>
      <c r="AC32" s="10">
        <v>47.52</v>
      </c>
      <c r="AD32" s="2">
        <f t="shared" si="0"/>
        <v>0.67000000000000171</v>
      </c>
      <c r="AE32" s="138">
        <f t="shared" si="1"/>
        <v>1.343570057581589E-2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42710</v>
      </c>
      <c r="X33" s="10">
        <v>46.7</v>
      </c>
      <c r="Y33" s="10">
        <v>47.13</v>
      </c>
      <c r="Z33" s="10">
        <v>46.7</v>
      </c>
      <c r="AA33" s="10">
        <v>47.11</v>
      </c>
      <c r="AB33" s="95">
        <v>4126500</v>
      </c>
      <c r="AC33" s="10">
        <v>46.89</v>
      </c>
      <c r="AD33" s="2">
        <f t="shared" si="0"/>
        <v>0.42999999999999972</v>
      </c>
      <c r="AE33" s="138">
        <f t="shared" si="1"/>
        <v>9.2552733534223552E-3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42709</v>
      </c>
      <c r="X34" s="10">
        <v>46.42</v>
      </c>
      <c r="Y34" s="10">
        <v>46.73</v>
      </c>
      <c r="Z34" s="10">
        <v>46.35</v>
      </c>
      <c r="AA34" s="10">
        <v>46.68</v>
      </c>
      <c r="AB34" s="95">
        <v>4250100</v>
      </c>
      <c r="AC34" s="10">
        <v>46.46</v>
      </c>
      <c r="AD34" s="2">
        <f t="shared" si="0"/>
        <v>0.37999999999999545</v>
      </c>
      <c r="AE34" s="138">
        <f t="shared" si="1"/>
        <v>1.5075376884422065E-2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42706</v>
      </c>
      <c r="X35" s="10">
        <v>45.67</v>
      </c>
      <c r="Y35" s="10">
        <v>46.1</v>
      </c>
      <c r="Z35" s="10">
        <v>45.65</v>
      </c>
      <c r="AA35" s="10">
        <v>45.99</v>
      </c>
      <c r="AB35" s="95">
        <v>5255800</v>
      </c>
      <c r="AC35" s="10">
        <v>45.77</v>
      </c>
      <c r="AD35" s="2">
        <f t="shared" si="0"/>
        <v>0.45000000000000284</v>
      </c>
      <c r="AE35" s="138">
        <f t="shared" si="1"/>
        <v>3.2880315651031555E-3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42705</v>
      </c>
      <c r="X36" s="10">
        <v>45.85</v>
      </c>
      <c r="Y36" s="10">
        <v>45.96</v>
      </c>
      <c r="Z36" s="10">
        <v>45.72</v>
      </c>
      <c r="AA36" s="10">
        <v>45.84</v>
      </c>
      <c r="AB36" s="95">
        <v>2651500</v>
      </c>
      <c r="AC36" s="10">
        <v>45.62</v>
      </c>
      <c r="AD36" s="2">
        <f t="shared" si="0"/>
        <v>0.24000000000000199</v>
      </c>
      <c r="AE36" s="138">
        <f t="shared" si="1"/>
        <v>-1.5320639089516641E-3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42704</v>
      </c>
      <c r="X37" s="10">
        <v>46.03</v>
      </c>
      <c r="Y37" s="10">
        <v>46.08</v>
      </c>
      <c r="Z37" s="10">
        <v>45.82</v>
      </c>
      <c r="AA37" s="10">
        <v>45.91</v>
      </c>
      <c r="AB37" s="95">
        <v>4140400</v>
      </c>
      <c r="AC37" s="10">
        <v>45.69</v>
      </c>
      <c r="AD37" s="2">
        <f t="shared" si="0"/>
        <v>0.25999999999999801</v>
      </c>
      <c r="AE37" s="138">
        <f t="shared" si="1"/>
        <v>-6.5616797900269752E-4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42703</v>
      </c>
      <c r="X38" s="10">
        <v>45.58</v>
      </c>
      <c r="Y38" s="10">
        <v>46</v>
      </c>
      <c r="Z38" s="10">
        <v>45.55</v>
      </c>
      <c r="AA38" s="10">
        <v>45.94</v>
      </c>
      <c r="AB38" s="95">
        <v>2878900</v>
      </c>
      <c r="AC38" s="10">
        <v>45.72</v>
      </c>
      <c r="AD38" s="2">
        <f t="shared" si="0"/>
        <v>0.45000000000000284</v>
      </c>
      <c r="AE38" s="138">
        <f t="shared" si="1"/>
        <v>8.8261253309795951E-3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45.75</v>
      </c>
      <c r="Y39" s="10">
        <v>45.76</v>
      </c>
      <c r="Z39" s="10">
        <v>45.52</v>
      </c>
      <c r="AA39" s="10">
        <v>45.54</v>
      </c>
      <c r="AB39" s="95">
        <v>2503900</v>
      </c>
      <c r="AC39" s="10">
        <v>45.32</v>
      </c>
      <c r="AD39" s="2">
        <f t="shared" si="0"/>
        <v>0.23999999999999488</v>
      </c>
      <c r="AE39" s="138">
        <f t="shared" si="1"/>
        <v>-1.1774967291757532E-2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46.01</v>
      </c>
      <c r="Y40" s="10">
        <v>46.08</v>
      </c>
      <c r="Z40" s="10">
        <v>45.96</v>
      </c>
      <c r="AA40" s="10">
        <v>46.08</v>
      </c>
      <c r="AB40" s="95">
        <v>1345300</v>
      </c>
      <c r="AC40" s="10">
        <v>45.86</v>
      </c>
      <c r="AD40" s="2">
        <f t="shared" si="0"/>
        <v>0.11999999999999744</v>
      </c>
      <c r="AE40" s="138">
        <f t="shared" si="1"/>
        <v>8.3553210202287342E-3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53.900000000000006</v>
      </c>
      <c r="Q41" s="2"/>
      <c r="W41" s="133">
        <v>42697</v>
      </c>
      <c r="X41" s="10">
        <v>45.45</v>
      </c>
      <c r="Y41" s="10">
        <v>45.74</v>
      </c>
      <c r="Z41" s="10">
        <v>45.36</v>
      </c>
      <c r="AA41" s="10">
        <v>45.7</v>
      </c>
      <c r="AB41" s="95">
        <v>2342000</v>
      </c>
      <c r="AC41" s="10">
        <v>45.48</v>
      </c>
      <c r="AD41" s="2">
        <f t="shared" si="0"/>
        <v>0.38000000000000256</v>
      </c>
      <c r="AE41" s="138">
        <f t="shared" si="1"/>
        <v>-7.2036673215456482E-3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53.410000000000004</v>
      </c>
      <c r="Q42" s="2"/>
      <c r="T42" s="91" t="s">
        <v>113</v>
      </c>
      <c r="W42" s="133">
        <v>42696</v>
      </c>
      <c r="X42" s="10">
        <v>46.02</v>
      </c>
      <c r="Y42" s="10">
        <v>46.07</v>
      </c>
      <c r="Z42" s="10">
        <v>45.82</v>
      </c>
      <c r="AA42" s="10">
        <v>46.03</v>
      </c>
      <c r="AB42" s="95">
        <v>2320000</v>
      </c>
      <c r="AC42" s="10">
        <v>45.81</v>
      </c>
      <c r="AD42" s="2">
        <f t="shared" si="0"/>
        <v>0.25</v>
      </c>
      <c r="AE42" s="138">
        <f t="shared" si="1"/>
        <v>8.7393489185050299E-4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52.92</v>
      </c>
      <c r="Q43" s="2"/>
      <c r="T43" s="128" t="s">
        <v>98</v>
      </c>
      <c r="U43" s="98">
        <v>48.73</v>
      </c>
      <c r="W43" s="133">
        <v>42695</v>
      </c>
      <c r="X43" s="10">
        <v>45.77</v>
      </c>
      <c r="Y43" s="10">
        <v>46</v>
      </c>
      <c r="Z43" s="10">
        <v>45.75</v>
      </c>
      <c r="AA43" s="10">
        <v>45.99</v>
      </c>
      <c r="AB43" s="95">
        <v>3711400</v>
      </c>
      <c r="AC43" s="10">
        <v>45.77</v>
      </c>
      <c r="AD43" s="2">
        <f t="shared" si="0"/>
        <v>0.25</v>
      </c>
      <c r="AE43" s="138">
        <f t="shared" si="1"/>
        <v>8.5940943146760596E-3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52.43</v>
      </c>
      <c r="Q44" s="2"/>
      <c r="T44" s="93" t="s">
        <v>99</v>
      </c>
      <c r="U44" s="88">
        <v>48.84</v>
      </c>
      <c r="W44" s="133">
        <v>42692</v>
      </c>
      <c r="X44" s="10">
        <v>45.74</v>
      </c>
      <c r="Y44" s="10">
        <v>45.77</v>
      </c>
      <c r="Z44" s="10">
        <v>45.52</v>
      </c>
      <c r="AA44" s="10">
        <v>45.6</v>
      </c>
      <c r="AB44" s="95">
        <v>3894600</v>
      </c>
      <c r="AC44" s="10">
        <v>45.38</v>
      </c>
      <c r="AD44" s="2">
        <f t="shared" si="0"/>
        <v>0.25</v>
      </c>
      <c r="AE44" s="138">
        <f t="shared" si="1"/>
        <v>-1.0250817884405627E-2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51.940000000000005</v>
      </c>
      <c r="Q45" s="2"/>
      <c r="T45" s="93" t="s">
        <v>100</v>
      </c>
      <c r="U45" s="88" t="s">
        <v>129</v>
      </c>
      <c r="W45" s="133">
        <v>42691</v>
      </c>
      <c r="X45" s="10">
        <v>45.99</v>
      </c>
      <c r="Y45" s="10">
        <v>46.19</v>
      </c>
      <c r="Z45" s="10">
        <v>45.94</v>
      </c>
      <c r="AA45" s="10">
        <v>46.07</v>
      </c>
      <c r="AB45" s="95">
        <v>6350000</v>
      </c>
      <c r="AC45" s="10">
        <v>45.85</v>
      </c>
      <c r="AD45" s="2">
        <f t="shared" si="0"/>
        <v>0.25</v>
      </c>
      <c r="AE45" s="138">
        <f t="shared" si="1"/>
        <v>4.8213894367741261E-3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51.45</v>
      </c>
      <c r="Q46" s="2"/>
      <c r="T46" s="93" t="s">
        <v>101</v>
      </c>
      <c r="U46" s="88" t="s">
        <v>129</v>
      </c>
      <c r="W46" s="133">
        <v>42690</v>
      </c>
      <c r="X46" s="10">
        <v>45.81</v>
      </c>
      <c r="Y46" s="10">
        <v>46.01</v>
      </c>
      <c r="Z46" s="10">
        <v>45.74</v>
      </c>
      <c r="AA46" s="10">
        <v>45.85</v>
      </c>
      <c r="AB46" s="95">
        <v>8245000</v>
      </c>
      <c r="AC46" s="10">
        <v>45.63</v>
      </c>
      <c r="AD46" s="2">
        <f t="shared" si="0"/>
        <v>0.26999999999999602</v>
      </c>
      <c r="AE46" s="138">
        <f t="shared" si="1"/>
        <v>-1.1053315994798418E-2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50.96</v>
      </c>
      <c r="Q47" s="2"/>
      <c r="T47" s="93" t="s">
        <v>372</v>
      </c>
      <c r="U47" s="88">
        <v>49.04</v>
      </c>
      <c r="W47" s="133">
        <v>42689</v>
      </c>
      <c r="X47" s="10">
        <v>45.95</v>
      </c>
      <c r="Y47" s="10">
        <v>46.36</v>
      </c>
      <c r="Z47" s="10">
        <v>45.91</v>
      </c>
      <c r="AA47" s="10">
        <v>46.36</v>
      </c>
      <c r="AB47" s="95">
        <v>2233200</v>
      </c>
      <c r="AC47" s="10">
        <v>46.14</v>
      </c>
      <c r="AD47" s="2">
        <f t="shared" si="0"/>
        <v>0.45000000000000284</v>
      </c>
      <c r="AE47" s="138">
        <f t="shared" si="1"/>
        <v>6.9838498472283295E-3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50.47</v>
      </c>
      <c r="Q48" s="2"/>
      <c r="T48" s="93" t="s">
        <v>373</v>
      </c>
      <c r="U48" s="88" t="s">
        <v>412</v>
      </c>
      <c r="W48" s="133">
        <v>42688</v>
      </c>
      <c r="X48" s="10">
        <v>45.99</v>
      </c>
      <c r="Y48" s="10">
        <v>46.12</v>
      </c>
      <c r="Z48" s="10">
        <v>45.85</v>
      </c>
      <c r="AA48" s="10">
        <v>46.04</v>
      </c>
      <c r="AB48" s="95">
        <v>2962300</v>
      </c>
      <c r="AC48" s="10">
        <v>45.82</v>
      </c>
      <c r="AD48" s="2">
        <f t="shared" si="0"/>
        <v>0.26999999999999602</v>
      </c>
      <c r="AE48" s="138">
        <f t="shared" si="1"/>
        <v>-8.6542622241453371E-3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49.980000000000004</v>
      </c>
      <c r="Q49" s="2"/>
      <c r="T49" s="93" t="s">
        <v>374</v>
      </c>
      <c r="U49" s="452">
        <v>-3.7000000000000002E-3</v>
      </c>
      <c r="W49" s="133">
        <v>42685</v>
      </c>
      <c r="X49" s="10">
        <v>46.55</v>
      </c>
      <c r="Y49" s="10">
        <v>46.66</v>
      </c>
      <c r="Z49" s="10">
        <v>46.26</v>
      </c>
      <c r="AA49" s="10">
        <v>46.44</v>
      </c>
      <c r="AB49" s="95">
        <v>2576800</v>
      </c>
      <c r="AC49" s="10">
        <v>46.22</v>
      </c>
      <c r="AD49" s="2">
        <f t="shared" si="0"/>
        <v>0.39999999999999858</v>
      </c>
      <c r="AE49" s="138">
        <f t="shared" si="1"/>
        <v>-9.8543273350470972E-3</v>
      </c>
    </row>
    <row r="50" spans="1:31" x14ac:dyDescent="0.25">
      <c r="O50" s="83">
        <v>1.01</v>
      </c>
      <c r="P50" s="83">
        <f t="shared" si="42"/>
        <v>49.49</v>
      </c>
      <c r="Q50" s="2"/>
      <c r="T50" s="93"/>
      <c r="U50" s="88"/>
      <c r="W50" s="133">
        <v>42684</v>
      </c>
      <c r="X50" s="10">
        <v>47.04</v>
      </c>
      <c r="Y50" s="10">
        <v>47.16</v>
      </c>
      <c r="Z50" s="10">
        <v>46.5</v>
      </c>
      <c r="AA50" s="10">
        <v>46.9</v>
      </c>
      <c r="AB50" s="95">
        <v>4569500</v>
      </c>
      <c r="AC50" s="10">
        <v>46.68</v>
      </c>
      <c r="AD50" s="2">
        <f t="shared" si="0"/>
        <v>0.65999999999999659</v>
      </c>
      <c r="AE50" s="138">
        <f t="shared" si="1"/>
        <v>-5.1150895140665842E-3</v>
      </c>
    </row>
    <row r="51" spans="1:31" x14ac:dyDescent="0.25">
      <c r="O51" s="83">
        <v>1</v>
      </c>
      <c r="P51" s="83">
        <f t="shared" si="42"/>
        <v>49</v>
      </c>
      <c r="Q51" s="2"/>
      <c r="T51" s="93" t="s">
        <v>105</v>
      </c>
      <c r="U51" s="88" t="s">
        <v>523</v>
      </c>
      <c r="W51" s="133">
        <v>42683</v>
      </c>
      <c r="X51" s="10">
        <v>46.54</v>
      </c>
      <c r="Y51" s="10">
        <v>47.3</v>
      </c>
      <c r="Z51" s="10">
        <v>46.54</v>
      </c>
      <c r="AA51" s="10">
        <v>47.14</v>
      </c>
      <c r="AB51" s="95">
        <v>4359400</v>
      </c>
      <c r="AC51" s="10">
        <v>46.92</v>
      </c>
      <c r="AD51" s="2">
        <f t="shared" si="0"/>
        <v>0.75999999999999801</v>
      </c>
      <c r="AE51" s="138">
        <f t="shared" si="1"/>
        <v>5.1413881748072487E-3</v>
      </c>
    </row>
    <row r="52" spans="1:31" x14ac:dyDescent="0.25">
      <c r="O52" s="83">
        <v>0.99</v>
      </c>
      <c r="P52" s="83">
        <f t="shared" si="42"/>
        <v>48.51</v>
      </c>
      <c r="Q52" s="2"/>
      <c r="T52" s="93" t="s">
        <v>106</v>
      </c>
      <c r="U52" s="88" t="s">
        <v>400</v>
      </c>
      <c r="W52" s="133">
        <v>42682</v>
      </c>
      <c r="X52" s="10">
        <v>46.63</v>
      </c>
      <c r="Y52" s="10">
        <v>47</v>
      </c>
      <c r="Z52" s="10">
        <v>46.57</v>
      </c>
      <c r="AA52" s="10">
        <v>46.9</v>
      </c>
      <c r="AB52" s="95">
        <v>2098600</v>
      </c>
      <c r="AC52" s="10">
        <v>46.68</v>
      </c>
      <c r="AD52" s="2">
        <f t="shared" si="0"/>
        <v>0.42999999999999972</v>
      </c>
      <c r="AE52" s="138">
        <f t="shared" si="1"/>
        <v>3.0081650193383158E-3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48.019999999999996</v>
      </c>
      <c r="Q53" s="2"/>
      <c r="T53" s="93" t="s">
        <v>107</v>
      </c>
      <c r="U53" s="90">
        <v>3698040</v>
      </c>
      <c r="W53" s="133">
        <v>42681</v>
      </c>
      <c r="X53" s="10">
        <v>46.61</v>
      </c>
      <c r="Y53" s="10">
        <v>46.76</v>
      </c>
      <c r="Z53" s="10">
        <v>46.5</v>
      </c>
      <c r="AA53" s="10">
        <v>46.76</v>
      </c>
      <c r="AB53" s="95">
        <v>2170900</v>
      </c>
      <c r="AC53" s="10">
        <v>46.54</v>
      </c>
      <c r="AD53" s="2">
        <f t="shared" si="0"/>
        <v>0.25999999999999801</v>
      </c>
      <c r="AE53" s="138">
        <f t="shared" si="1"/>
        <v>1.5935385287055182E-2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47.53</v>
      </c>
      <c r="T54" s="93" t="s">
        <v>110</v>
      </c>
      <c r="U54" s="90">
        <v>3526940</v>
      </c>
      <c r="W54" s="133">
        <v>42678</v>
      </c>
      <c r="X54" s="10">
        <v>46.14</v>
      </c>
      <c r="Y54" s="10">
        <v>46.36</v>
      </c>
      <c r="Z54" s="10">
        <v>46.03</v>
      </c>
      <c r="AA54" s="10">
        <v>46.03</v>
      </c>
      <c r="AB54" s="95">
        <v>3244800</v>
      </c>
      <c r="AC54" s="10">
        <v>45.81</v>
      </c>
      <c r="AD54" s="2">
        <f t="shared" si="0"/>
        <v>0.32999999999999829</v>
      </c>
      <c r="AE54" s="138">
        <f t="shared" si="1"/>
        <v>-9.941646855413877E-3</v>
      </c>
    </row>
    <row r="55" spans="1:31" x14ac:dyDescent="0.25">
      <c r="A55" s="265" t="s">
        <v>232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249</v>
      </c>
      <c r="M55" s="261"/>
      <c r="O55" s="83">
        <v>0.96</v>
      </c>
      <c r="P55" s="83">
        <f t="shared" si="42"/>
        <v>47.04</v>
      </c>
      <c r="T55" s="93" t="s">
        <v>375</v>
      </c>
      <c r="U55" s="88">
        <v>16</v>
      </c>
      <c r="W55" s="133">
        <v>42677</v>
      </c>
      <c r="X55" s="10">
        <v>46.7</v>
      </c>
      <c r="Y55" s="10">
        <v>46.76</v>
      </c>
      <c r="Z55" s="10">
        <v>46.4</v>
      </c>
      <c r="AA55" s="10">
        <v>46.49</v>
      </c>
      <c r="AB55" s="95">
        <v>2528800</v>
      </c>
      <c r="AC55" s="10">
        <v>46.27</v>
      </c>
      <c r="AD55" s="2">
        <f t="shared" si="0"/>
        <v>0.35999999999999943</v>
      </c>
      <c r="AE55" s="138">
        <f t="shared" si="1"/>
        <v>-4.3205875999130505E-4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46.55</v>
      </c>
      <c r="T56" s="93" t="s">
        <v>376</v>
      </c>
      <c r="U56" s="88">
        <v>3.52</v>
      </c>
      <c r="W56" s="133">
        <v>42676</v>
      </c>
      <c r="X56" s="10">
        <v>46.83</v>
      </c>
      <c r="Y56" s="10">
        <v>46.87</v>
      </c>
      <c r="Z56" s="10">
        <v>46.46</v>
      </c>
      <c r="AA56" s="10">
        <v>46.51</v>
      </c>
      <c r="AB56" s="95">
        <v>2975500</v>
      </c>
      <c r="AC56" s="10">
        <v>46.29</v>
      </c>
      <c r="AD56" s="2">
        <f t="shared" si="0"/>
        <v>0.40999999999999659</v>
      </c>
      <c r="AE56" s="138">
        <f t="shared" si="1"/>
        <v>-6.6523605150214937E-3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46.059999999999995</v>
      </c>
      <c r="T57" s="93"/>
      <c r="U57" s="88"/>
      <c r="W57" s="133">
        <v>42675</v>
      </c>
      <c r="X57" s="10">
        <v>47.18</v>
      </c>
      <c r="Y57" s="10">
        <v>47.21</v>
      </c>
      <c r="Z57" s="10">
        <v>46.69</v>
      </c>
      <c r="AA57" s="10">
        <v>46.82</v>
      </c>
      <c r="AB57" s="95">
        <v>3303100</v>
      </c>
      <c r="AC57" s="10">
        <v>46.6</v>
      </c>
      <c r="AD57" s="2">
        <f t="shared" si="0"/>
        <v>0.52000000000000313</v>
      </c>
      <c r="AE57" s="138">
        <f t="shared" si="1"/>
        <v>-4.0606967300704788E-3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45.57</v>
      </c>
      <c r="T58" s="93"/>
      <c r="U58" s="88"/>
      <c r="W58" s="133">
        <v>42674</v>
      </c>
      <c r="X58" s="10">
        <v>46.97</v>
      </c>
      <c r="Y58" s="10">
        <v>47.11</v>
      </c>
      <c r="Z58" s="10">
        <v>46.84</v>
      </c>
      <c r="AA58" s="10">
        <v>47.01</v>
      </c>
      <c r="AB58" s="95">
        <v>2016000</v>
      </c>
      <c r="AC58" s="10">
        <v>46.79</v>
      </c>
      <c r="AD58" s="2">
        <f t="shared" si="0"/>
        <v>0.26999999999999602</v>
      </c>
      <c r="AE58" s="138">
        <f t="shared" si="1"/>
        <v>-1.0674637062341175E-3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45.080000000000005</v>
      </c>
      <c r="W59" s="133">
        <v>42671</v>
      </c>
      <c r="X59" s="10">
        <v>47.01</v>
      </c>
      <c r="Y59" s="10">
        <v>47.22</v>
      </c>
      <c r="Z59" s="10">
        <v>46.98</v>
      </c>
      <c r="AA59" s="10">
        <v>47.06</v>
      </c>
      <c r="AB59" s="95">
        <v>3251700</v>
      </c>
      <c r="AC59" s="10">
        <v>46.84</v>
      </c>
      <c r="AD59" s="2">
        <f t="shared" si="0"/>
        <v>0.24000000000000199</v>
      </c>
      <c r="AE59" s="138">
        <f t="shared" si="1"/>
        <v>-8.5324232081906981E-4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44.59</v>
      </c>
      <c r="W60" s="133">
        <v>42670</v>
      </c>
      <c r="X60" s="10">
        <v>47.26</v>
      </c>
      <c r="Y60" s="10">
        <v>47.28</v>
      </c>
      <c r="Z60" s="10">
        <v>47.04</v>
      </c>
      <c r="AA60" s="10">
        <v>47.1</v>
      </c>
      <c r="AB60" s="95">
        <v>1628400</v>
      </c>
      <c r="AC60" s="10">
        <v>46.88</v>
      </c>
      <c r="AD60" s="2">
        <f t="shared" si="0"/>
        <v>0.24000000000000199</v>
      </c>
      <c r="AE60" s="138">
        <f t="shared" si="1"/>
        <v>1.0676916506513479E-3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44.1</v>
      </c>
      <c r="W61" s="133">
        <v>42669</v>
      </c>
      <c r="X61" s="10">
        <v>47.07</v>
      </c>
      <c r="Y61" s="10">
        <v>47.25</v>
      </c>
      <c r="Z61" s="10">
        <v>46.98</v>
      </c>
      <c r="AA61" s="10">
        <v>47.05</v>
      </c>
      <c r="AB61" s="95">
        <v>1670100</v>
      </c>
      <c r="AC61" s="10">
        <v>46.83</v>
      </c>
      <c r="AD61" s="2">
        <f t="shared" si="0"/>
        <v>0.27000000000000313</v>
      </c>
      <c r="AE61" s="138">
        <f t="shared" si="1"/>
        <v>-4.6758767268862966E-3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42668</v>
      </c>
      <c r="X62" s="10">
        <v>47.27</v>
      </c>
      <c r="Y62" s="10">
        <v>47.38</v>
      </c>
      <c r="Z62" s="10">
        <v>47.11</v>
      </c>
      <c r="AA62" s="10">
        <v>47.28</v>
      </c>
      <c r="AB62" s="95">
        <v>2632900</v>
      </c>
      <c r="AC62" s="10">
        <v>47.05</v>
      </c>
      <c r="AD62" s="2">
        <f t="shared" si="0"/>
        <v>0.27000000000000313</v>
      </c>
      <c r="AE62" s="138">
        <f t="shared" si="1"/>
        <v>-3.8111369892017688E-3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42667</v>
      </c>
      <c r="X63" s="10">
        <v>47.59</v>
      </c>
      <c r="Y63" s="10">
        <v>47.66</v>
      </c>
      <c r="Z63" s="10">
        <v>47.36</v>
      </c>
      <c r="AA63" s="10">
        <v>47.46</v>
      </c>
      <c r="AB63" s="95">
        <v>5896800</v>
      </c>
      <c r="AC63" s="10">
        <v>47.23</v>
      </c>
      <c r="AD63" s="2">
        <f t="shared" si="0"/>
        <v>0.29999999999999716</v>
      </c>
      <c r="AE63" s="138">
        <f t="shared" si="1"/>
        <v>-1.2687671812222634E-3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42664</v>
      </c>
      <c r="X64" s="10">
        <v>47.28</v>
      </c>
      <c r="Y64" s="10">
        <v>47.55</v>
      </c>
      <c r="Z64" s="10">
        <v>47.26</v>
      </c>
      <c r="AA64" s="10">
        <v>47.52</v>
      </c>
      <c r="AB64" s="95">
        <v>1675800</v>
      </c>
      <c r="AC64" s="10">
        <v>47.29</v>
      </c>
      <c r="AD64" s="2">
        <f t="shared" si="0"/>
        <v>0.28999999999999915</v>
      </c>
      <c r="AE64" s="138">
        <f t="shared" si="1"/>
        <v>-2.951718321737351E-3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42663</v>
      </c>
      <c r="X65" s="10">
        <v>47.5</v>
      </c>
      <c r="Y65" s="10">
        <v>47.78</v>
      </c>
      <c r="Z65" s="10">
        <v>47.46</v>
      </c>
      <c r="AA65" s="10">
        <v>47.66</v>
      </c>
      <c r="AB65" s="95">
        <v>3244300</v>
      </c>
      <c r="AC65" s="10">
        <v>47.43</v>
      </c>
      <c r="AD65" s="2">
        <f t="shared" si="0"/>
        <v>0.32000000000000028</v>
      </c>
      <c r="AE65" s="138">
        <f t="shared" si="1"/>
        <v>0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42662</v>
      </c>
      <c r="X66" s="10">
        <v>47.56</v>
      </c>
      <c r="Y66" s="10">
        <v>47.76</v>
      </c>
      <c r="Z66" s="10">
        <v>47.56</v>
      </c>
      <c r="AA66" s="10">
        <v>47.66</v>
      </c>
      <c r="AB66" s="95">
        <v>2032600</v>
      </c>
      <c r="AC66" s="10">
        <v>47.43</v>
      </c>
      <c r="AD66" s="2">
        <f t="shared" si="0"/>
        <v>0.19999999999999574</v>
      </c>
      <c r="AE66" s="138">
        <f t="shared" si="1"/>
        <v>1.2666244458519049E-3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42661</v>
      </c>
      <c r="X67" s="10">
        <v>47.63</v>
      </c>
      <c r="Y67" s="10">
        <v>47.72</v>
      </c>
      <c r="Z67" s="10">
        <v>47.47</v>
      </c>
      <c r="AA67" s="10">
        <v>47.6</v>
      </c>
      <c r="AB67" s="95">
        <v>1740300</v>
      </c>
      <c r="AC67" s="10">
        <v>47.37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42660</v>
      </c>
      <c r="X68" s="10">
        <v>47.06</v>
      </c>
      <c r="Y68" s="10">
        <v>47.16</v>
      </c>
      <c r="Z68" s="10">
        <v>46.9</v>
      </c>
      <c r="AA68" s="10">
        <v>47</v>
      </c>
      <c r="AB68" s="95">
        <v>1782600</v>
      </c>
      <c r="AC68" s="10">
        <v>46.78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69" priority="9">
      <formula>F39&gt;0</formula>
    </cfRule>
    <cfRule type="expression" dxfId="568" priority="10">
      <formula>F39&lt;0</formula>
    </cfRule>
  </conditionalFormatting>
  <conditionalFormatting sqref="F25:F38">
    <cfRule type="expression" dxfId="567" priority="7">
      <formula>F25&gt;0</formula>
    </cfRule>
    <cfRule type="expression" dxfId="566" priority="8">
      <formula>F25&lt;0</formula>
    </cfRule>
  </conditionalFormatting>
  <conditionalFormatting sqref="H25:H38">
    <cfRule type="expression" dxfId="565" priority="5">
      <formula>H25&gt;0</formula>
    </cfRule>
    <cfRule type="expression" dxfId="564" priority="6">
      <formula>H25&lt;0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9">
        <v>42710</v>
      </c>
      <c r="C2" s="4">
        <v>200</v>
      </c>
      <c r="D2" s="3">
        <v>18.75</v>
      </c>
      <c r="E2" s="3">
        <v>0</v>
      </c>
      <c r="F2" s="3">
        <f>C2*D2+E2</f>
        <v>3750</v>
      </c>
      <c r="G2" s="74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256</v>
      </c>
      <c r="V2" s="16"/>
      <c r="W2" s="141">
        <v>42755</v>
      </c>
      <c r="X2" s="142">
        <v>21.9</v>
      </c>
      <c r="Y2" s="142">
        <v>22.33</v>
      </c>
      <c r="Z2" s="10">
        <v>21.89</v>
      </c>
      <c r="AA2" s="10">
        <v>21.96</v>
      </c>
      <c r="AB2" s="95">
        <v>19896500</v>
      </c>
      <c r="AC2" s="10">
        <v>21.96</v>
      </c>
      <c r="AD2">
        <f>Y2-Z2</f>
        <v>0.43999999999999773</v>
      </c>
      <c r="AE2" s="138">
        <f>AC2/AC3-1</f>
        <v>1.1515430677107252E-2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>C3*D3+E3</f>
        <v>4019.0000000000005</v>
      </c>
      <c r="G3" s="74"/>
      <c r="H3" s="4"/>
      <c r="I3" s="3"/>
      <c r="J3" s="3"/>
      <c r="K3" s="3"/>
      <c r="L3" s="4"/>
      <c r="M3" s="4"/>
      <c r="N3" s="4"/>
      <c r="O3" s="11" t="s">
        <v>58</v>
      </c>
      <c r="Q3" s="515">
        <f>(F27-K27)/Q2</f>
        <v>20.207419354838709</v>
      </c>
      <c r="T3" s="1">
        <v>42621</v>
      </c>
      <c r="U3" s="34" t="s">
        <v>277</v>
      </c>
      <c r="W3" s="133">
        <v>42754</v>
      </c>
      <c r="X3" s="10">
        <v>21.5</v>
      </c>
      <c r="Y3" s="10">
        <v>22.3</v>
      </c>
      <c r="Z3" s="10">
        <v>21.49</v>
      </c>
      <c r="AA3" s="10">
        <v>21.71</v>
      </c>
      <c r="AB3" s="95">
        <v>31235500</v>
      </c>
      <c r="AC3" s="10">
        <v>21.71</v>
      </c>
      <c r="AD3">
        <f t="shared" ref="AD3:AD66" si="0">Y3-Z3</f>
        <v>0.81000000000000227</v>
      </c>
      <c r="AE3" s="138">
        <f t="shared" ref="AE3:AE66" si="1">AC3/AC4-1</f>
        <v>-2.7329749103942591E-2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>C4*D4+E4</f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21.96</v>
      </c>
      <c r="R4" s="505">
        <v>1.15E-2</v>
      </c>
      <c r="T4" s="1">
        <v>42627</v>
      </c>
      <c r="U4" s="34" t="s">
        <v>277</v>
      </c>
      <c r="W4" s="133">
        <v>42753</v>
      </c>
      <c r="X4" s="10">
        <v>21.68</v>
      </c>
      <c r="Y4" s="10">
        <v>22.34</v>
      </c>
      <c r="Z4" s="10">
        <v>21.53</v>
      </c>
      <c r="AA4" s="10">
        <v>22.32</v>
      </c>
      <c r="AB4" s="95">
        <v>19415200</v>
      </c>
      <c r="AC4" s="10">
        <v>22.32</v>
      </c>
      <c r="AD4">
        <f t="shared" si="0"/>
        <v>0.80999999999999872</v>
      </c>
      <c r="AE4" s="138">
        <f t="shared" si="1"/>
        <v>2.6678932842686409E-2</v>
      </c>
      <c r="AL4" s="234"/>
      <c r="AO4" s="234"/>
    </row>
    <row r="5" spans="1:42" x14ac:dyDescent="0.25">
      <c r="B5" s="509">
        <v>42716</v>
      </c>
      <c r="C5" s="4">
        <v>600</v>
      </c>
      <c r="D5" s="3">
        <v>19.600000000000001</v>
      </c>
      <c r="E5" s="3">
        <v>0</v>
      </c>
      <c r="F5" s="3">
        <f>C5*D5+E5</f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34038</v>
      </c>
      <c r="T5" t="s">
        <v>393</v>
      </c>
      <c r="W5" s="133">
        <v>42752</v>
      </c>
      <c r="X5" s="10">
        <v>21.88</v>
      </c>
      <c r="Y5" s="10">
        <v>22.07</v>
      </c>
      <c r="Z5" s="10">
        <v>21.58</v>
      </c>
      <c r="AA5" s="10">
        <v>21.74</v>
      </c>
      <c r="AB5" s="95">
        <v>19884600</v>
      </c>
      <c r="AC5" s="10">
        <v>21.74</v>
      </c>
      <c r="AD5">
        <f t="shared" si="0"/>
        <v>0.49000000000000199</v>
      </c>
      <c r="AE5" s="138">
        <f t="shared" si="1"/>
        <v>-1.9837691614066788E-2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>C6*D6+E6</f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31321.5</v>
      </c>
      <c r="W6" s="133">
        <v>42748</v>
      </c>
      <c r="X6" s="10">
        <v>22.27</v>
      </c>
      <c r="Y6" s="10">
        <v>22.31</v>
      </c>
      <c r="Z6" s="10">
        <v>21.99</v>
      </c>
      <c r="AA6" s="10">
        <v>22.18</v>
      </c>
      <c r="AB6" s="95">
        <v>14017800</v>
      </c>
      <c r="AC6" s="10">
        <v>22.18</v>
      </c>
      <c r="AD6">
        <f t="shared" si="0"/>
        <v>0.32000000000000028</v>
      </c>
      <c r="AE6" s="138">
        <f t="shared" si="1"/>
        <v>-5.8269834155086908E-3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182</v>
      </c>
      <c r="Q7" s="2">
        <f>Q10+Q8</f>
        <v>9937.6170000000857</v>
      </c>
      <c r="R7">
        <v>1200</v>
      </c>
      <c r="W7" s="133">
        <v>42747</v>
      </c>
      <c r="X7" s="10">
        <v>22.46</v>
      </c>
      <c r="Y7" s="10">
        <v>22.48</v>
      </c>
      <c r="Z7" s="10">
        <v>21.7</v>
      </c>
      <c r="AA7" s="10">
        <v>22.31</v>
      </c>
      <c r="AB7" s="95">
        <v>27522700</v>
      </c>
      <c r="AC7" s="10">
        <v>22.31</v>
      </c>
      <c r="AD7">
        <f t="shared" si="0"/>
        <v>0.78000000000000114</v>
      </c>
      <c r="AE7" s="138">
        <f t="shared" si="1"/>
        <v>-2.1061869240895148E-2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185</v>
      </c>
      <c r="P8" s="34"/>
      <c r="Q8" s="2">
        <f>K27+M27-F27+Q2*Q4</f>
        <v>2716.5</v>
      </c>
      <c r="W8" s="133">
        <v>42746</v>
      </c>
      <c r="X8" s="10">
        <v>22.61</v>
      </c>
      <c r="Y8" s="10">
        <v>22.88</v>
      </c>
      <c r="Z8" s="10">
        <v>22.56</v>
      </c>
      <c r="AA8" s="10">
        <v>22.79</v>
      </c>
      <c r="AB8" s="95">
        <v>20791800</v>
      </c>
      <c r="AC8" s="10">
        <v>22.79</v>
      </c>
      <c r="AD8">
        <f t="shared" si="0"/>
        <v>0.32000000000000028</v>
      </c>
      <c r="AE8" s="138">
        <f t="shared" si="1"/>
        <v>1.3790035587188498E-2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215</v>
      </c>
      <c r="Q9" s="138">
        <f>IF(Q2=0, 0, Q8/Q6)</f>
        <v>8.6729562760404194E-2</v>
      </c>
      <c r="W9" s="133">
        <v>42745</v>
      </c>
      <c r="X9" s="10">
        <v>22.36</v>
      </c>
      <c r="Y9" s="10">
        <v>22.69</v>
      </c>
      <c r="Z9" s="10">
        <v>22.3</v>
      </c>
      <c r="AA9" s="10">
        <v>22.48</v>
      </c>
      <c r="AB9" s="95">
        <v>20600000</v>
      </c>
      <c r="AC9" s="10">
        <v>22.48</v>
      </c>
      <c r="AD9">
        <f t="shared" si="0"/>
        <v>0.39000000000000057</v>
      </c>
      <c r="AE9" s="138">
        <f t="shared" si="1"/>
        <v>6.2667860340197556E-3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214</v>
      </c>
      <c r="P10" s="34"/>
      <c r="Q10" s="2">
        <f>M322</f>
        <v>7221.1170000000857</v>
      </c>
      <c r="T10" s="11"/>
      <c r="W10" s="133">
        <v>42744</v>
      </c>
      <c r="X10" s="10">
        <v>21.94</v>
      </c>
      <c r="Y10" s="10">
        <v>22.55</v>
      </c>
      <c r="Z10" s="10">
        <v>21.94</v>
      </c>
      <c r="AA10" s="10">
        <v>22.34</v>
      </c>
      <c r="AB10" s="95">
        <v>21524300</v>
      </c>
      <c r="AC10" s="10">
        <v>22.34</v>
      </c>
      <c r="AD10">
        <f t="shared" si="0"/>
        <v>0.60999999999999943</v>
      </c>
      <c r="AE10" s="138">
        <f t="shared" si="1"/>
        <v>1.3611615245009201E-2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42741</v>
      </c>
      <c r="X11" s="10">
        <v>22.27</v>
      </c>
      <c r="Y11" s="10">
        <v>22.28</v>
      </c>
      <c r="Z11" s="10">
        <v>21.98</v>
      </c>
      <c r="AA11" s="10">
        <v>22.04</v>
      </c>
      <c r="AB11" s="95">
        <v>17762000</v>
      </c>
      <c r="AC11" s="10">
        <v>22.04</v>
      </c>
      <c r="AD11">
        <f t="shared" si="0"/>
        <v>0.30000000000000071</v>
      </c>
      <c r="AE11" s="138">
        <f t="shared" si="1"/>
        <v>-3.1659882406150919E-3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42740</v>
      </c>
      <c r="X12" s="10">
        <v>22.4</v>
      </c>
      <c r="Y12" s="10">
        <v>22.57</v>
      </c>
      <c r="Z12" s="10">
        <v>21.96</v>
      </c>
      <c r="AA12" s="10">
        <v>22.11</v>
      </c>
      <c r="AB12" s="95">
        <v>19723400</v>
      </c>
      <c r="AC12" s="10">
        <v>22.11</v>
      </c>
      <c r="AD12">
        <f t="shared" si="0"/>
        <v>0.60999999999999943</v>
      </c>
      <c r="AE12" s="138">
        <f t="shared" si="1"/>
        <v>-1.1180679785330994E-2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2"/>
      <c r="H13" s="4"/>
      <c r="I13" s="3"/>
      <c r="J13" s="3"/>
      <c r="K13" s="3"/>
      <c r="L13" s="4"/>
      <c r="M13" s="4"/>
      <c r="N13" s="4"/>
      <c r="T13" s="1"/>
      <c r="W13" s="133">
        <v>42739</v>
      </c>
      <c r="X13" s="10">
        <v>22.67</v>
      </c>
      <c r="Y13" s="10">
        <v>22.84</v>
      </c>
      <c r="Z13" s="10">
        <v>22.25</v>
      </c>
      <c r="AA13" s="10">
        <v>22.36</v>
      </c>
      <c r="AB13" s="95">
        <v>20326700</v>
      </c>
      <c r="AC13" s="10">
        <v>22.36</v>
      </c>
      <c r="AD13">
        <f t="shared" si="0"/>
        <v>0.58999999999999986</v>
      </c>
      <c r="AE13" s="138">
        <f t="shared" si="1"/>
        <v>-8.4257206208426805E-3</v>
      </c>
    </row>
    <row r="14" spans="1:42" x14ac:dyDescent="0.25">
      <c r="B14" s="509"/>
      <c r="C14" s="4"/>
      <c r="D14" s="3"/>
      <c r="E14" s="3"/>
      <c r="F14" s="3"/>
      <c r="G14" s="652"/>
      <c r="H14" s="4"/>
      <c r="I14" s="3"/>
      <c r="J14" s="3"/>
      <c r="K14" s="3"/>
      <c r="L14" s="4"/>
      <c r="M14" s="4"/>
      <c r="N14" s="4"/>
      <c r="W14" s="133">
        <v>42738</v>
      </c>
      <c r="X14" s="10">
        <v>22.07</v>
      </c>
      <c r="Y14" s="10">
        <v>22.74</v>
      </c>
      <c r="Z14" s="10">
        <v>22.05</v>
      </c>
      <c r="AA14" s="10">
        <v>22.55</v>
      </c>
      <c r="AB14" s="95">
        <v>24908600</v>
      </c>
      <c r="AC14" s="10">
        <v>22.55</v>
      </c>
      <c r="AD14">
        <f t="shared" si="0"/>
        <v>0.68999999999999773</v>
      </c>
      <c r="AE14" s="138">
        <f t="shared" si="1"/>
        <v>2.8740875912408814E-2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42734</v>
      </c>
      <c r="X15" s="10">
        <v>22.35</v>
      </c>
      <c r="Y15" s="10">
        <v>22.4</v>
      </c>
      <c r="Z15" s="10">
        <v>21.75</v>
      </c>
      <c r="AA15" s="10">
        <v>21.92</v>
      </c>
      <c r="AB15" s="95">
        <v>20250400</v>
      </c>
      <c r="AC15" s="10">
        <v>21.92</v>
      </c>
      <c r="AD15">
        <f t="shared" si="0"/>
        <v>0.64999999999999858</v>
      </c>
      <c r="AE15" s="138">
        <f t="shared" si="1"/>
        <v>-1.5716210148181364E-2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42733</v>
      </c>
      <c r="X16" s="10">
        <v>22.58</v>
      </c>
      <c r="Y16" s="10">
        <v>22.8</v>
      </c>
      <c r="Z16" s="10">
        <v>22.15</v>
      </c>
      <c r="AA16" s="10">
        <v>22.27</v>
      </c>
      <c r="AB16" s="95">
        <v>19794500</v>
      </c>
      <c r="AC16" s="10">
        <v>22.27</v>
      </c>
      <c r="AD16">
        <f t="shared" si="0"/>
        <v>0.65000000000000213</v>
      </c>
      <c r="AE16" s="138">
        <f t="shared" si="1"/>
        <v>-2.2388059701492602E-2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42732</v>
      </c>
      <c r="X17" s="10">
        <v>23.4</v>
      </c>
      <c r="Y17" s="10">
        <v>23.41</v>
      </c>
      <c r="Z17" s="10">
        <v>22.76</v>
      </c>
      <c r="AA17" s="10">
        <v>22.78</v>
      </c>
      <c r="AB17" s="95">
        <v>23960700</v>
      </c>
      <c r="AC17" s="10">
        <v>22.78</v>
      </c>
      <c r="AD17">
        <f t="shared" si="0"/>
        <v>0.64999999999999858</v>
      </c>
      <c r="AE17" s="138">
        <f t="shared" si="1"/>
        <v>-2.2317596566523545E-2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42731</v>
      </c>
      <c r="X18" s="10">
        <v>23.35</v>
      </c>
      <c r="Y18" s="10">
        <v>23.64</v>
      </c>
      <c r="Z18" s="10">
        <v>23.21</v>
      </c>
      <c r="AA18" s="10">
        <v>23.3</v>
      </c>
      <c r="AB18" s="95">
        <v>24169500</v>
      </c>
      <c r="AC18" s="10">
        <v>23.3</v>
      </c>
      <c r="AD18">
        <f t="shared" si="0"/>
        <v>0.42999999999999972</v>
      </c>
      <c r="AE18" s="138">
        <f t="shared" si="1"/>
        <v>1.7196904557179593E-3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42727</v>
      </c>
      <c r="X19" s="10">
        <v>23.07</v>
      </c>
      <c r="Y19" s="10">
        <v>23.49</v>
      </c>
      <c r="Z19" s="10">
        <v>23.06</v>
      </c>
      <c r="AA19" s="10">
        <v>23.26</v>
      </c>
      <c r="AB19" s="95">
        <v>27717300</v>
      </c>
      <c r="AC19" s="10">
        <v>23.26</v>
      </c>
      <c r="AD19">
        <f t="shared" si="0"/>
        <v>0.42999999999999972</v>
      </c>
      <c r="AE19" s="138">
        <f t="shared" si="1"/>
        <v>3.0185424752049439E-3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42726</v>
      </c>
      <c r="X20" s="10">
        <v>22.91</v>
      </c>
      <c r="Y20" s="10">
        <v>23.49</v>
      </c>
      <c r="Z20" s="10">
        <v>22.77</v>
      </c>
      <c r="AA20" s="10">
        <v>23.19</v>
      </c>
      <c r="AB20" s="95">
        <v>85619500</v>
      </c>
      <c r="AC20" s="10">
        <v>23.19</v>
      </c>
      <c r="AD20">
        <f t="shared" si="0"/>
        <v>0.71999999999999886</v>
      </c>
      <c r="AE20" s="138">
        <f t="shared" si="1"/>
        <v>0.12682215743440239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42725</v>
      </c>
      <c r="X21" s="10">
        <v>20.75</v>
      </c>
      <c r="Y21" s="10">
        <v>20.83</v>
      </c>
      <c r="Z21" s="10">
        <v>20.34</v>
      </c>
      <c r="AA21" s="10">
        <v>20.58</v>
      </c>
      <c r="AB21" s="95">
        <v>29218400</v>
      </c>
      <c r="AC21" s="10">
        <v>20.58</v>
      </c>
      <c r="AD21">
        <f t="shared" si="0"/>
        <v>0.48999999999999844</v>
      </c>
      <c r="AE21" s="138">
        <f t="shared" si="1"/>
        <v>-3.3898305084746339E-3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42724</v>
      </c>
      <c r="X22" s="10">
        <v>20.73</v>
      </c>
      <c r="Y22" s="10">
        <v>20.8</v>
      </c>
      <c r="Z22" s="10">
        <v>20.47</v>
      </c>
      <c r="AA22" s="10">
        <v>20.65</v>
      </c>
      <c r="AB22" s="95">
        <v>22931800</v>
      </c>
      <c r="AC22" s="10">
        <v>20.65</v>
      </c>
      <c r="AD22">
        <f t="shared" si="0"/>
        <v>0.33000000000000185</v>
      </c>
      <c r="AE22" s="138">
        <f t="shared" si="1"/>
        <v>1.4742014742014531E-2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42723</v>
      </c>
      <c r="X23" s="10">
        <v>20.43</v>
      </c>
      <c r="Y23" s="10">
        <v>20.7</v>
      </c>
      <c r="Z23" s="10">
        <v>20.190000000000001</v>
      </c>
      <c r="AA23" s="10">
        <v>20.350000000000001</v>
      </c>
      <c r="AB23" s="95">
        <v>23512100</v>
      </c>
      <c r="AC23" s="10">
        <v>20.350000000000001</v>
      </c>
      <c r="AD23">
        <f t="shared" si="0"/>
        <v>0.50999999999999801</v>
      </c>
      <c r="AE23" s="138">
        <f t="shared" si="1"/>
        <v>3.9467192895905612E-3</v>
      </c>
    </row>
    <row r="24" spans="1:41" x14ac:dyDescent="0.25">
      <c r="B24" s="30"/>
      <c r="N24" s="4"/>
      <c r="O24" s="2"/>
      <c r="P24" s="2"/>
      <c r="Q24" s="2"/>
      <c r="W24" s="133">
        <v>42720</v>
      </c>
      <c r="X24" s="10">
        <v>20.53</v>
      </c>
      <c r="Y24" s="10">
        <v>21</v>
      </c>
      <c r="Z24" s="10">
        <v>20.190000000000001</v>
      </c>
      <c r="AA24" s="10">
        <v>20.27</v>
      </c>
      <c r="AB24" s="95">
        <v>36161200</v>
      </c>
      <c r="AC24" s="10">
        <v>20.27</v>
      </c>
      <c r="AD24">
        <f t="shared" si="0"/>
        <v>0.80999999999999872</v>
      </c>
      <c r="AE24" s="138">
        <f t="shared" si="1"/>
        <v>-9.8570724494817519E-4</v>
      </c>
    </row>
    <row r="25" spans="1:41" x14ac:dyDescent="0.25">
      <c r="B25" s="30"/>
      <c r="N25" s="4"/>
      <c r="O25" s="2"/>
      <c r="P25" s="2"/>
      <c r="Q25" s="2"/>
      <c r="W25" s="133">
        <v>42719</v>
      </c>
      <c r="X25" s="10">
        <v>20.100000000000001</v>
      </c>
      <c r="Y25" s="10">
        <v>20.5</v>
      </c>
      <c r="Z25" s="10">
        <v>19.98</v>
      </c>
      <c r="AA25" s="10">
        <v>20.29</v>
      </c>
      <c r="AB25" s="95">
        <v>19438900</v>
      </c>
      <c r="AC25" s="10">
        <v>20.29</v>
      </c>
      <c r="AD25">
        <f t="shared" si="0"/>
        <v>0.51999999999999957</v>
      </c>
      <c r="AE25" s="138">
        <f t="shared" si="1"/>
        <v>1.3486513486513418E-2</v>
      </c>
    </row>
    <row r="26" spans="1:41" x14ac:dyDescent="0.25">
      <c r="B26" s="30"/>
      <c r="N26" s="4"/>
      <c r="O26" s="2"/>
      <c r="P26" s="2"/>
      <c r="Q26" s="2"/>
      <c r="W26" s="133">
        <v>42718</v>
      </c>
      <c r="X26" s="10">
        <v>19.93</v>
      </c>
      <c r="Y26" s="10">
        <v>20.329999999999998</v>
      </c>
      <c r="Z26" s="10">
        <v>19.78</v>
      </c>
      <c r="AA26" s="10">
        <v>20.02</v>
      </c>
      <c r="AB26" s="95">
        <v>19352100</v>
      </c>
      <c r="AC26" s="10">
        <v>20.02</v>
      </c>
      <c r="AD26">
        <f t="shared" si="0"/>
        <v>0.54999999999999716</v>
      </c>
      <c r="AE26" s="138">
        <f t="shared" si="1"/>
        <v>-5.464480874316946E-3</v>
      </c>
    </row>
    <row r="27" spans="1:41" x14ac:dyDescent="0.25">
      <c r="A27" s="22" t="s">
        <v>81</v>
      </c>
      <c r="B27" s="12"/>
      <c r="C27" s="12">
        <f>SUM(C2:C26)</f>
        <v>1550</v>
      </c>
      <c r="D27" s="12"/>
      <c r="E27" s="12"/>
      <c r="F27" s="13">
        <f>SUM(F2:F26)</f>
        <v>31321.5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42717</v>
      </c>
      <c r="X27" s="10">
        <v>20.14</v>
      </c>
      <c r="Y27" s="10">
        <v>20.47</v>
      </c>
      <c r="Z27" s="10">
        <v>19.8</v>
      </c>
      <c r="AA27" s="10">
        <v>20.13</v>
      </c>
      <c r="AB27" s="95">
        <v>26150400</v>
      </c>
      <c r="AC27" s="10">
        <v>20.13</v>
      </c>
      <c r="AD27">
        <f t="shared" si="0"/>
        <v>0.66999999999999815</v>
      </c>
      <c r="AE27" s="138">
        <f t="shared" si="1"/>
        <v>5.494505494505475E-3</v>
      </c>
    </row>
    <row r="28" spans="1:41" ht="15.75" thickBot="1" x14ac:dyDescent="0.3">
      <c r="A28" s="356" t="s">
        <v>199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42716</v>
      </c>
      <c r="X28" s="10">
        <v>20.3</v>
      </c>
      <c r="Y28" s="10">
        <v>20.51</v>
      </c>
      <c r="Z28" s="10">
        <v>19.489999999999998</v>
      </c>
      <c r="AA28" s="10">
        <v>20.02</v>
      </c>
      <c r="AB28" s="95">
        <v>28649200</v>
      </c>
      <c r="AC28" s="10">
        <v>20.02</v>
      </c>
      <c r="AD28">
        <f t="shared" si="0"/>
        <v>1.0200000000000031</v>
      </c>
      <c r="AE28" s="138">
        <f t="shared" si="1"/>
        <v>-2.3414634146341484E-2</v>
      </c>
    </row>
    <row r="29" spans="1:41" x14ac:dyDescent="0.25">
      <c r="N29" s="4"/>
      <c r="W29" s="133">
        <v>42713</v>
      </c>
      <c r="X29" s="10">
        <v>20.73</v>
      </c>
      <c r="Y29" s="10">
        <v>20.85</v>
      </c>
      <c r="Z29" s="10">
        <v>20.13</v>
      </c>
      <c r="AA29" s="10">
        <v>20.5</v>
      </c>
      <c r="AB29" s="95">
        <v>23948600</v>
      </c>
      <c r="AC29" s="10">
        <v>20.5</v>
      </c>
      <c r="AD29">
        <f t="shared" si="0"/>
        <v>0.72000000000000242</v>
      </c>
      <c r="AE29" s="138">
        <f t="shared" si="1"/>
        <v>-7.7444336882865894E-3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42712</v>
      </c>
      <c r="X30" s="10">
        <v>20.75</v>
      </c>
      <c r="Y30" s="10">
        <v>20.99</v>
      </c>
      <c r="Z30" s="10">
        <v>20.29</v>
      </c>
      <c r="AA30" s="10">
        <v>20.66</v>
      </c>
      <c r="AB30" s="95">
        <v>36085400</v>
      </c>
      <c r="AC30" s="10">
        <v>20.66</v>
      </c>
      <c r="AD30">
        <f t="shared" si="0"/>
        <v>0.69999999999999929</v>
      </c>
      <c r="AE30" s="138">
        <f t="shared" si="1"/>
        <v>1.0763209393346296E-2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42711</v>
      </c>
      <c r="X31" s="10">
        <v>19.5</v>
      </c>
      <c r="Y31" s="10">
        <v>20.54</v>
      </c>
      <c r="Z31" s="10">
        <v>19.3</v>
      </c>
      <c r="AA31" s="10">
        <v>20.440000000000001</v>
      </c>
      <c r="AB31" s="95">
        <v>44654300</v>
      </c>
      <c r="AC31" s="10">
        <v>20.440000000000001</v>
      </c>
      <c r="AD31">
        <f t="shared" si="0"/>
        <v>1.2399999999999984</v>
      </c>
      <c r="AE31" s="138">
        <f t="shared" si="1"/>
        <v>7.2402938090241564E-2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42710</v>
      </c>
      <c r="X32" s="10">
        <v>18.62</v>
      </c>
      <c r="Y32" s="10">
        <v>19.09</v>
      </c>
      <c r="Z32" s="10">
        <v>18.579999999999998</v>
      </c>
      <c r="AA32" s="10">
        <v>19.059999999999999</v>
      </c>
      <c r="AB32" s="95">
        <v>22194400</v>
      </c>
      <c r="AC32" s="10">
        <v>19.059999999999999</v>
      </c>
      <c r="AD32">
        <f t="shared" si="0"/>
        <v>0.51000000000000156</v>
      </c>
      <c r="AE32" s="138">
        <f t="shared" si="1"/>
        <v>2.4180548092423315E-2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42709</v>
      </c>
      <c r="X33" s="10">
        <v>19</v>
      </c>
      <c r="Y33" s="10">
        <v>19</v>
      </c>
      <c r="Z33" s="10">
        <v>18.399999999999999</v>
      </c>
      <c r="AA33" s="10">
        <v>18.61</v>
      </c>
      <c r="AB33" s="95">
        <v>26579000</v>
      </c>
      <c r="AC33" s="10">
        <v>18.61</v>
      </c>
      <c r="AD33">
        <f t="shared" si="0"/>
        <v>0.60000000000000142</v>
      </c>
      <c r="AE33" s="138">
        <f t="shared" si="1"/>
        <v>-9.5795635976583249E-3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156</v>
      </c>
      <c r="J34" s="229" t="s">
        <v>312</v>
      </c>
      <c r="K34" s="3"/>
      <c r="L34" s="4"/>
      <c r="M34" s="4"/>
      <c r="N34" s="4"/>
      <c r="W34" s="133">
        <v>42706</v>
      </c>
      <c r="X34" s="10">
        <v>18.46</v>
      </c>
      <c r="Y34" s="10">
        <v>19.2</v>
      </c>
      <c r="Z34" s="10">
        <v>18.3</v>
      </c>
      <c r="AA34" s="10">
        <v>18.79</v>
      </c>
      <c r="AB34" s="95">
        <v>25745600</v>
      </c>
      <c r="AC34" s="10">
        <v>18.79</v>
      </c>
      <c r="AD34">
        <f t="shared" si="0"/>
        <v>0.89999999999999858</v>
      </c>
      <c r="AE34" s="138">
        <f t="shared" si="1"/>
        <v>1.6774891774891776E-2</v>
      </c>
    </row>
    <row r="35" spans="1:41" x14ac:dyDescent="0.25">
      <c r="A35" t="s">
        <v>618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2">-C35*(D35-E35)</f>
        <v>2329.0005499999988</v>
      </c>
      <c r="G35" s="40">
        <f t="shared" ref="G35" si="3">IF(C35=0, 0,D35*C35)</f>
        <v>31321.499450000003</v>
      </c>
      <c r="H35" s="232">
        <f t="shared" ref="H35" si="4">IF(C35=0, D35, (E35-D35)/D35)</f>
        <v>7.4357888060815641E-2</v>
      </c>
      <c r="I35" s="40"/>
      <c r="J35" s="40"/>
      <c r="K35" s="3"/>
      <c r="L35" s="4"/>
      <c r="M35" s="4"/>
      <c r="N35" s="4"/>
      <c r="W35" s="133">
        <v>42705</v>
      </c>
      <c r="X35" s="10">
        <v>19.7</v>
      </c>
      <c r="Y35" s="10">
        <v>19.829999999999998</v>
      </c>
      <c r="Z35" s="10">
        <v>18.18</v>
      </c>
      <c r="AA35" s="10">
        <v>18.48</v>
      </c>
      <c r="AB35" s="95">
        <v>40632200</v>
      </c>
      <c r="AC35" s="10">
        <v>18.48</v>
      </c>
      <c r="AD35">
        <f t="shared" si="0"/>
        <v>1.6499999999999986</v>
      </c>
      <c r="AE35" s="138">
        <f t="shared" si="1"/>
        <v>-5.3763440860215117E-2</v>
      </c>
    </row>
    <row r="36" spans="1:41" x14ac:dyDescent="0.25">
      <c r="B36" s="193"/>
      <c r="C36" s="10"/>
      <c r="D36" s="200"/>
      <c r="E36" s="40"/>
      <c r="F36" s="40"/>
      <c r="G36" s="40"/>
      <c r="H36" s="232"/>
      <c r="I36" s="40"/>
      <c r="J36" s="40"/>
      <c r="K36" s="3"/>
      <c r="L36" s="4"/>
      <c r="M36" s="4"/>
      <c r="N36" s="4"/>
      <c r="W36" s="133">
        <v>42704</v>
      </c>
      <c r="X36" s="10">
        <v>19.579999999999998</v>
      </c>
      <c r="Y36" s="10">
        <v>19.760000000000002</v>
      </c>
      <c r="Z36" s="10">
        <v>19.36</v>
      </c>
      <c r="AA36" s="10">
        <v>19.53</v>
      </c>
      <c r="AB36" s="95">
        <v>25984900</v>
      </c>
      <c r="AC36" s="10">
        <v>19.53</v>
      </c>
      <c r="AD36">
        <f t="shared" si="0"/>
        <v>0.40000000000000213</v>
      </c>
      <c r="AE36" s="138">
        <f t="shared" si="1"/>
        <v>5.6642636457260309E-3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42703</v>
      </c>
      <c r="X37" s="10">
        <v>19.920000000000002</v>
      </c>
      <c r="Y37" s="10">
        <v>20.2</v>
      </c>
      <c r="Z37" s="10">
        <v>19.38</v>
      </c>
      <c r="AA37" s="10">
        <v>19.420000000000002</v>
      </c>
      <c r="AB37" s="95">
        <v>37877200</v>
      </c>
      <c r="AC37" s="10">
        <v>19.420000000000002</v>
      </c>
      <c r="AD37">
        <f t="shared" si="0"/>
        <v>0.82000000000000028</v>
      </c>
      <c r="AE37" s="138">
        <f t="shared" si="1"/>
        <v>-2.8514257128564147E-2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4"/>
      <c r="N38" s="4"/>
      <c r="W38" s="133">
        <v>42702</v>
      </c>
      <c r="X38" s="10">
        <v>20.18</v>
      </c>
      <c r="Y38" s="10">
        <v>20.28</v>
      </c>
      <c r="Z38" s="10">
        <v>19.95</v>
      </c>
      <c r="AA38" s="10">
        <v>19.989999999999998</v>
      </c>
      <c r="AB38" s="95">
        <v>22166100</v>
      </c>
      <c r="AC38" s="10">
        <v>19.989999999999998</v>
      </c>
      <c r="AD38">
        <f t="shared" si="0"/>
        <v>0.33000000000000185</v>
      </c>
      <c r="AE38" s="138">
        <f t="shared" si="1"/>
        <v>-6.9547938400397191E-3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42699</v>
      </c>
      <c r="X39" s="10">
        <v>19.95</v>
      </c>
      <c r="Y39" s="10">
        <v>20.440000000000001</v>
      </c>
      <c r="Z39" s="10">
        <v>19.79</v>
      </c>
      <c r="AA39" s="10">
        <v>20.13</v>
      </c>
      <c r="AB39" s="95">
        <v>16305600</v>
      </c>
      <c r="AC39" s="10">
        <v>20.13</v>
      </c>
      <c r="AD39">
        <f t="shared" si="0"/>
        <v>0.65000000000000213</v>
      </c>
      <c r="AE39" s="138">
        <f t="shared" si="1"/>
        <v>1.1049723756906049E-2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42697</v>
      </c>
      <c r="X40" s="10">
        <v>19.63</v>
      </c>
      <c r="Y40" s="10">
        <v>19.93</v>
      </c>
      <c r="Z40" s="10">
        <v>19.47</v>
      </c>
      <c r="AA40" s="10">
        <v>19.91</v>
      </c>
      <c r="AB40" s="95">
        <v>20002800</v>
      </c>
      <c r="AC40" s="10">
        <v>19.91</v>
      </c>
      <c r="AD40">
        <f t="shared" si="0"/>
        <v>0.46000000000000085</v>
      </c>
      <c r="AE40" s="138">
        <f t="shared" si="1"/>
        <v>8.6119554204662219E-3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42696</v>
      </c>
      <c r="X41" s="10">
        <v>19.64</v>
      </c>
      <c r="Y41" s="10">
        <v>19.8</v>
      </c>
      <c r="Z41" s="10">
        <v>19.45</v>
      </c>
      <c r="AA41" s="10">
        <v>19.739999999999998</v>
      </c>
      <c r="AB41" s="95">
        <v>22211100</v>
      </c>
      <c r="AC41" s="10">
        <v>19.739999999999998</v>
      </c>
      <c r="AD41">
        <f t="shared" si="0"/>
        <v>0.35000000000000142</v>
      </c>
      <c r="AE41" s="138">
        <f t="shared" si="1"/>
        <v>1.2827090815803022E-2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42695</v>
      </c>
      <c r="X42" s="10">
        <v>19.39</v>
      </c>
      <c r="Y42" s="10">
        <v>19.670000000000002</v>
      </c>
      <c r="Z42" s="10">
        <v>19.350000000000001</v>
      </c>
      <c r="AA42" s="10">
        <v>19.489999999999998</v>
      </c>
      <c r="AB42" s="95">
        <v>22658400</v>
      </c>
      <c r="AC42" s="10">
        <v>19.489999999999998</v>
      </c>
      <c r="AD42">
        <f t="shared" si="0"/>
        <v>0.32000000000000028</v>
      </c>
      <c r="AE42" s="138">
        <f t="shared" si="1"/>
        <v>1.4575741801145181E-2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21.71</v>
      </c>
      <c r="W43" s="133">
        <v>42692</v>
      </c>
      <c r="X43" s="10">
        <v>18.899999999999999</v>
      </c>
      <c r="Y43" s="10">
        <v>19.329999999999998</v>
      </c>
      <c r="Z43" s="10">
        <v>18.850000000000001</v>
      </c>
      <c r="AA43" s="10">
        <v>19.21</v>
      </c>
      <c r="AB43" s="95">
        <v>27322300</v>
      </c>
      <c r="AC43" s="10">
        <v>19.21</v>
      </c>
      <c r="AD43">
        <f t="shared" si="0"/>
        <v>0.47999999999999687</v>
      </c>
      <c r="AE43" s="138">
        <f t="shared" si="1"/>
        <v>1.5641293013557434E-3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2" t="s">
        <v>78</v>
      </c>
      <c r="P44" s="632"/>
      <c r="T44" s="93" t="s">
        <v>99</v>
      </c>
      <c r="U44" s="130">
        <v>21.9</v>
      </c>
      <c r="W44" s="133">
        <v>42691</v>
      </c>
      <c r="X44" s="10">
        <v>18.350000000000001</v>
      </c>
      <c r="Y44" s="10">
        <v>19.34</v>
      </c>
      <c r="Z44" s="10">
        <v>18.25</v>
      </c>
      <c r="AA44" s="10">
        <v>19.18</v>
      </c>
      <c r="AB44" s="95">
        <v>45702900</v>
      </c>
      <c r="AC44" s="10">
        <v>19.18</v>
      </c>
      <c r="AD44">
        <f t="shared" si="0"/>
        <v>1.0899999999999999</v>
      </c>
      <c r="AE44" s="138">
        <f t="shared" si="1"/>
        <v>5.1535087719298378E-2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24.156000000000002</v>
      </c>
      <c r="T45" s="93" t="s">
        <v>100</v>
      </c>
      <c r="U45" s="130" t="s">
        <v>524</v>
      </c>
      <c r="W45" s="133">
        <v>42690</v>
      </c>
      <c r="X45" s="10">
        <v>17.940000000000001</v>
      </c>
      <c r="Y45" s="10">
        <v>18.329999999999998</v>
      </c>
      <c r="Z45" s="10">
        <v>17.93</v>
      </c>
      <c r="AA45" s="10">
        <v>18.239999999999998</v>
      </c>
      <c r="AB45" s="95">
        <v>21600600</v>
      </c>
      <c r="AC45" s="10">
        <v>18.239999999999998</v>
      </c>
      <c r="AD45">
        <f t="shared" si="0"/>
        <v>0.39999999999999858</v>
      </c>
      <c r="AE45" s="138">
        <f t="shared" si="1"/>
        <v>7.7348066298341678E-3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5">O46*$Q$4</f>
        <v>23.936400000000003</v>
      </c>
      <c r="T46" s="93" t="s">
        <v>101</v>
      </c>
      <c r="U46" s="130" t="s">
        <v>525</v>
      </c>
      <c r="W46" s="133">
        <v>42689</v>
      </c>
      <c r="X46" s="10">
        <v>17.66</v>
      </c>
      <c r="Y46" s="10">
        <v>18.170000000000002</v>
      </c>
      <c r="Z46" s="10">
        <v>17.66</v>
      </c>
      <c r="AA46" s="10">
        <v>18.100000000000001</v>
      </c>
      <c r="AB46" s="95">
        <v>25115900</v>
      </c>
      <c r="AC46" s="10">
        <v>18.100000000000001</v>
      </c>
      <c r="AD46">
        <f t="shared" si="0"/>
        <v>0.51000000000000156</v>
      </c>
      <c r="AE46" s="138">
        <f t="shared" si="1"/>
        <v>2.2021456804065531E-2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5"/>
        <v>23.716800000000003</v>
      </c>
      <c r="T47" s="93" t="s">
        <v>102</v>
      </c>
      <c r="U47" s="130">
        <v>26.58</v>
      </c>
      <c r="W47" s="133">
        <v>42688</v>
      </c>
      <c r="X47" s="10">
        <v>17.77</v>
      </c>
      <c r="Y47" s="10">
        <v>17.98</v>
      </c>
      <c r="Z47" s="10">
        <v>17.53</v>
      </c>
      <c r="AA47" s="10">
        <v>17.71</v>
      </c>
      <c r="AB47" s="95">
        <v>26305700</v>
      </c>
      <c r="AC47" s="10">
        <v>17.71</v>
      </c>
      <c r="AD47">
        <f t="shared" si="0"/>
        <v>0.44999999999999929</v>
      </c>
      <c r="AE47" s="138">
        <f t="shared" si="1"/>
        <v>2.2637238256932868E-3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5"/>
        <v>23.497200000000003</v>
      </c>
      <c r="T48" s="93" t="s">
        <v>103</v>
      </c>
      <c r="U48" s="130">
        <v>1.9653499999999999</v>
      </c>
      <c r="W48" s="133">
        <v>42685</v>
      </c>
      <c r="X48" s="10">
        <v>17.079999999999998</v>
      </c>
      <c r="Y48" s="10">
        <v>17.68</v>
      </c>
      <c r="Z48" s="10">
        <v>16.899999999999999</v>
      </c>
      <c r="AA48" s="10">
        <v>17.670000000000002</v>
      </c>
      <c r="AB48" s="95">
        <v>31007400</v>
      </c>
      <c r="AC48" s="10">
        <v>17.670000000000002</v>
      </c>
      <c r="AD48">
        <f t="shared" si="0"/>
        <v>0.78000000000000114</v>
      </c>
      <c r="AE48" s="138">
        <f t="shared" si="1"/>
        <v>4.0023543260741867E-2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5"/>
        <v>23.277600000000003</v>
      </c>
      <c r="T49" s="93" t="s">
        <v>122</v>
      </c>
      <c r="U49" s="130" t="s">
        <v>394</v>
      </c>
      <c r="W49" s="133">
        <v>42684</v>
      </c>
      <c r="X49" s="10">
        <v>17.350000000000001</v>
      </c>
      <c r="Y49" s="10">
        <v>17.760000000000002</v>
      </c>
      <c r="Z49" s="10">
        <v>16.75</v>
      </c>
      <c r="AA49" s="10">
        <v>16.989999999999998</v>
      </c>
      <c r="AB49" s="95">
        <v>30256300</v>
      </c>
      <c r="AC49" s="10">
        <v>16.989999999999998</v>
      </c>
      <c r="AD49">
        <f t="shared" si="0"/>
        <v>1.0100000000000016</v>
      </c>
      <c r="AE49" s="138">
        <f t="shared" si="1"/>
        <v>-1.2209302325581484E-2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5"/>
        <v>23.058000000000003</v>
      </c>
      <c r="T50" s="93"/>
      <c r="U50" s="130"/>
      <c r="W50" s="133">
        <v>42683</v>
      </c>
      <c r="X50" s="10">
        <v>16.95</v>
      </c>
      <c r="Y50" s="10">
        <v>17.350000000000001</v>
      </c>
      <c r="Z50" s="10">
        <v>16.75</v>
      </c>
      <c r="AA50" s="10">
        <v>17.2</v>
      </c>
      <c r="AB50" s="95">
        <v>33825300</v>
      </c>
      <c r="AC50" s="10">
        <v>17.2</v>
      </c>
      <c r="AD50">
        <f t="shared" si="0"/>
        <v>0.60000000000000142</v>
      </c>
      <c r="AE50" s="138">
        <f t="shared" si="1"/>
        <v>-1.2062033314187315E-2</v>
      </c>
      <c r="AL50" s="234"/>
      <c r="AO50" s="234"/>
    </row>
    <row r="51" spans="2:41" x14ac:dyDescent="0.25">
      <c r="B51" s="651"/>
      <c r="C51" s="4"/>
      <c r="D51" s="3"/>
      <c r="E51" s="3"/>
      <c r="F51" s="3"/>
      <c r="G51" s="652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5"/>
        <v>22.8384</v>
      </c>
      <c r="T51" s="93" t="s">
        <v>105</v>
      </c>
      <c r="U51" s="130" t="s">
        <v>526</v>
      </c>
      <c r="W51" s="133">
        <v>42682</v>
      </c>
      <c r="X51" s="10">
        <v>17.3</v>
      </c>
      <c r="Y51" s="10">
        <v>17.55</v>
      </c>
      <c r="Z51" s="10">
        <v>17.059999999999999</v>
      </c>
      <c r="AA51" s="10">
        <v>17.41</v>
      </c>
      <c r="AB51" s="95">
        <v>18025200</v>
      </c>
      <c r="AC51" s="10">
        <v>17.41</v>
      </c>
      <c r="AD51">
        <f t="shared" si="0"/>
        <v>0.49000000000000199</v>
      </c>
      <c r="AE51" s="138">
        <f t="shared" si="1"/>
        <v>1.7261219792865656E-3</v>
      </c>
    </row>
    <row r="52" spans="2:41" x14ac:dyDescent="0.25">
      <c r="B52" s="651"/>
      <c r="C52" s="4"/>
      <c r="D52" s="3"/>
      <c r="E52" s="3"/>
      <c r="F52" s="3"/>
      <c r="G52" s="652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5"/>
        <v>22.6188</v>
      </c>
      <c r="T52" s="93" t="s">
        <v>106</v>
      </c>
      <c r="U52" s="130" t="s">
        <v>444</v>
      </c>
      <c r="W52" s="133">
        <v>42681</v>
      </c>
      <c r="X52" s="10">
        <v>17.02</v>
      </c>
      <c r="Y52" s="10">
        <v>17.43</v>
      </c>
      <c r="Z52" s="10">
        <v>17.02</v>
      </c>
      <c r="AA52" s="10">
        <v>17.38</v>
      </c>
      <c r="AB52" s="95">
        <v>21542500</v>
      </c>
      <c r="AC52" s="10">
        <v>17.38</v>
      </c>
      <c r="AD52">
        <f t="shared" si="0"/>
        <v>0.41000000000000014</v>
      </c>
      <c r="AE52" s="138">
        <f t="shared" si="1"/>
        <v>4.1966426858513151E-2</v>
      </c>
    </row>
    <row r="53" spans="2:41" x14ac:dyDescent="0.25">
      <c r="B53" s="651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5"/>
        <v>22.3992</v>
      </c>
      <c r="T53" s="93" t="s">
        <v>107</v>
      </c>
      <c r="U53" s="131">
        <v>19978669</v>
      </c>
      <c r="W53" s="133">
        <v>42678</v>
      </c>
      <c r="X53" s="10">
        <v>16.46</v>
      </c>
      <c r="Y53" s="10">
        <v>17.02</v>
      </c>
      <c r="Z53" s="10">
        <v>16.45</v>
      </c>
      <c r="AA53" s="10">
        <v>16.68</v>
      </c>
      <c r="AB53" s="95">
        <v>17926300</v>
      </c>
      <c r="AC53" s="10">
        <v>16.68</v>
      </c>
      <c r="AD53">
        <f t="shared" si="0"/>
        <v>0.57000000000000028</v>
      </c>
      <c r="AE53" s="138">
        <f t="shared" si="1"/>
        <v>3.6101083032489267E-3</v>
      </c>
    </row>
    <row r="54" spans="2:41" x14ac:dyDescent="0.25">
      <c r="B54" s="651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5"/>
        <v>22.179600000000001</v>
      </c>
      <c r="T54" s="93" t="s">
        <v>110</v>
      </c>
      <c r="U54" s="131">
        <v>25755500</v>
      </c>
      <c r="W54" s="133">
        <v>42677</v>
      </c>
      <c r="X54" s="10">
        <v>16.66</v>
      </c>
      <c r="Y54" s="10">
        <v>16.809999999999999</v>
      </c>
      <c r="Z54" s="10">
        <v>16.559999999999999</v>
      </c>
      <c r="AA54" s="10">
        <v>16.62</v>
      </c>
      <c r="AB54" s="95">
        <v>17185100</v>
      </c>
      <c r="AC54" s="10">
        <v>16.62</v>
      </c>
      <c r="AD54">
        <f t="shared" si="0"/>
        <v>0.25</v>
      </c>
      <c r="AE54" s="138">
        <f t="shared" si="1"/>
        <v>-3.597122302158251E-3</v>
      </c>
      <c r="AL54" s="234"/>
      <c r="AO54" s="234"/>
    </row>
    <row r="55" spans="2:41" x14ac:dyDescent="0.25">
      <c r="B55" s="651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5"/>
        <v>21.96</v>
      </c>
      <c r="T55" s="93" t="s">
        <v>108</v>
      </c>
      <c r="U55" s="130" t="s">
        <v>637</v>
      </c>
      <c r="W55" s="133">
        <v>42676</v>
      </c>
      <c r="X55" s="10">
        <v>16.95</v>
      </c>
      <c r="Y55" s="10">
        <v>17.02</v>
      </c>
      <c r="Z55" s="10">
        <v>16.5</v>
      </c>
      <c r="AA55" s="10">
        <v>16.68</v>
      </c>
      <c r="AB55" s="95">
        <v>24880200</v>
      </c>
      <c r="AC55" s="10">
        <v>16.68</v>
      </c>
      <c r="AD55">
        <f t="shared" si="0"/>
        <v>0.51999999999999957</v>
      </c>
      <c r="AE55" s="138">
        <f t="shared" si="1"/>
        <v>-1.7667844522968212E-2</v>
      </c>
    </row>
    <row r="56" spans="2:41" x14ac:dyDescent="0.25">
      <c r="B56" s="651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5"/>
        <v>21.740400000000001</v>
      </c>
      <c r="T56" s="93" t="s">
        <v>111</v>
      </c>
      <c r="U56" s="130" t="s">
        <v>129</v>
      </c>
      <c r="W56" s="133">
        <v>42675</v>
      </c>
      <c r="X56" s="10">
        <v>17.2</v>
      </c>
      <c r="Y56" s="10">
        <v>17.41</v>
      </c>
      <c r="Z56" s="10">
        <v>16.579999999999998</v>
      </c>
      <c r="AA56" s="10">
        <v>16.98</v>
      </c>
      <c r="AB56" s="95">
        <v>27115100</v>
      </c>
      <c r="AC56" s="10">
        <v>16.98</v>
      </c>
      <c r="AD56">
        <f t="shared" si="0"/>
        <v>0.83000000000000185</v>
      </c>
      <c r="AE56" s="138">
        <f t="shared" si="1"/>
        <v>-1.0489510489510523E-2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5"/>
        <v>21.520800000000001</v>
      </c>
      <c r="T57" s="93" t="s">
        <v>112</v>
      </c>
      <c r="U57" s="130">
        <v>-0.3</v>
      </c>
      <c r="W57" s="133">
        <v>42674</v>
      </c>
      <c r="X57" s="10">
        <v>17.54</v>
      </c>
      <c r="Y57" s="10">
        <v>17.760000000000002</v>
      </c>
      <c r="Z57" s="10">
        <v>17.16</v>
      </c>
      <c r="AA57" s="10">
        <v>17.16</v>
      </c>
      <c r="AB57" s="95">
        <v>23239600</v>
      </c>
      <c r="AC57" s="10">
        <v>17.16</v>
      </c>
      <c r="AD57">
        <f t="shared" si="0"/>
        <v>0.60000000000000142</v>
      </c>
      <c r="AE57" s="138">
        <f t="shared" si="1"/>
        <v>-2.3255813953487747E-3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5"/>
        <v>21.301200000000001</v>
      </c>
      <c r="T58" s="93" t="s">
        <v>109</v>
      </c>
      <c r="U58" s="130" t="s">
        <v>123</v>
      </c>
      <c r="W58" s="133">
        <v>42671</v>
      </c>
      <c r="X58" s="10">
        <v>17.600000000000001</v>
      </c>
      <c r="Y58" s="10">
        <v>17.670000000000002</v>
      </c>
      <c r="Z58" s="10">
        <v>17.100000000000001</v>
      </c>
      <c r="AA58" s="10">
        <v>17.2</v>
      </c>
      <c r="AB58" s="95">
        <v>20805300</v>
      </c>
      <c r="AC58" s="10">
        <v>17.2</v>
      </c>
      <c r="AD58">
        <f t="shared" si="0"/>
        <v>0.57000000000000028</v>
      </c>
      <c r="AE58" s="138">
        <f t="shared" si="1"/>
        <v>-1.882487164860247E-2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5"/>
        <v>21.081600000000002</v>
      </c>
      <c r="W59" s="133">
        <v>42670</v>
      </c>
      <c r="X59" s="10">
        <v>17.82</v>
      </c>
      <c r="Y59" s="10">
        <v>17.899999999999999</v>
      </c>
      <c r="Z59" s="10">
        <v>17.399999999999999</v>
      </c>
      <c r="AA59" s="10">
        <v>17.53</v>
      </c>
      <c r="AB59" s="95">
        <v>21169900</v>
      </c>
      <c r="AC59" s="10">
        <v>17.53</v>
      </c>
      <c r="AD59">
        <f t="shared" si="0"/>
        <v>0.5</v>
      </c>
      <c r="AE59" s="138">
        <f t="shared" si="1"/>
        <v>-6.2358276643990074E-3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5"/>
        <v>20.861999999999998</v>
      </c>
      <c r="W60" s="133">
        <v>42669</v>
      </c>
      <c r="X60" s="10">
        <v>17.3</v>
      </c>
      <c r="Y60" s="10">
        <v>17.93</v>
      </c>
      <c r="Z60" s="10">
        <v>17.2</v>
      </c>
      <c r="AA60" s="10">
        <v>17.64</v>
      </c>
      <c r="AB60" s="95">
        <v>23585400</v>
      </c>
      <c r="AC60" s="10">
        <v>17.64</v>
      </c>
      <c r="AD60">
        <f t="shared" si="0"/>
        <v>0.73000000000000043</v>
      </c>
      <c r="AE60" s="138">
        <f t="shared" si="1"/>
        <v>5.7012542759407037E-3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5"/>
        <v>20.642399999999999</v>
      </c>
      <c r="W61" s="133">
        <v>42668</v>
      </c>
      <c r="X61" s="10">
        <v>17.100000000000001</v>
      </c>
      <c r="Y61" s="10">
        <v>17.61</v>
      </c>
      <c r="Z61" s="10">
        <v>17.100000000000001</v>
      </c>
      <c r="AA61" s="10">
        <v>17.54</v>
      </c>
      <c r="AB61" s="95">
        <v>27161700</v>
      </c>
      <c r="AC61" s="10">
        <v>17.54</v>
      </c>
      <c r="AD61">
        <f t="shared" si="0"/>
        <v>0.50999999999999801</v>
      </c>
      <c r="AE61" s="138">
        <f t="shared" si="1"/>
        <v>2.8135990621336537E-2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5"/>
        <v>20.422800000000002</v>
      </c>
      <c r="W62" s="133">
        <v>42667</v>
      </c>
      <c r="X62" s="10">
        <v>17.07</v>
      </c>
      <c r="Y62" s="10">
        <v>17.16</v>
      </c>
      <c r="Z62" s="10">
        <v>16.97</v>
      </c>
      <c r="AA62" s="10">
        <v>17.059999999999999</v>
      </c>
      <c r="AB62" s="95">
        <v>13800900</v>
      </c>
      <c r="AC62" s="10">
        <v>17.059999999999999</v>
      </c>
      <c r="AD62">
        <f t="shared" si="0"/>
        <v>0.19000000000000128</v>
      </c>
      <c r="AE62" s="138">
        <f t="shared" si="1"/>
        <v>7.0838252656433287E-3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5"/>
        <v>20.203200000000002</v>
      </c>
      <c r="W63" s="133">
        <v>42664</v>
      </c>
      <c r="X63" s="10">
        <v>17</v>
      </c>
      <c r="Y63" s="10">
        <v>17.07</v>
      </c>
      <c r="Z63" s="10">
        <v>16.8</v>
      </c>
      <c r="AA63" s="10">
        <v>16.940000000000001</v>
      </c>
      <c r="AB63" s="95">
        <v>18675200</v>
      </c>
      <c r="AC63" s="10">
        <v>16.940000000000001</v>
      </c>
      <c r="AD63">
        <f t="shared" si="0"/>
        <v>0.26999999999999957</v>
      </c>
      <c r="AE63" s="138">
        <f t="shared" si="1"/>
        <v>-1.5116279069767313E-2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5"/>
        <v>19.983600000000003</v>
      </c>
      <c r="W64" s="133">
        <v>42663</v>
      </c>
      <c r="X64" s="10">
        <v>17.05</v>
      </c>
      <c r="Y64" s="10">
        <v>17.5</v>
      </c>
      <c r="Z64" s="10">
        <v>17.05</v>
      </c>
      <c r="AA64" s="10">
        <v>17.2</v>
      </c>
      <c r="AB64" s="95">
        <v>17081000</v>
      </c>
      <c r="AC64" s="10">
        <v>17.2</v>
      </c>
      <c r="AD64">
        <f t="shared" si="0"/>
        <v>0.44999999999999929</v>
      </c>
      <c r="AE64" s="138">
        <f t="shared" si="1"/>
        <v>-1.1614401858304202E-3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5"/>
        <v>19.764000000000003</v>
      </c>
      <c r="W65" s="133">
        <v>42662</v>
      </c>
      <c r="X65" s="10">
        <v>17</v>
      </c>
      <c r="Y65" s="10">
        <v>17.25</v>
      </c>
      <c r="Z65" s="10">
        <v>16.850000000000001</v>
      </c>
      <c r="AA65" s="10">
        <v>17.22</v>
      </c>
      <c r="AB65" s="95">
        <v>18610700</v>
      </c>
      <c r="AC65" s="10">
        <v>17.22</v>
      </c>
      <c r="AD65">
        <f t="shared" si="0"/>
        <v>0.39999999999999858</v>
      </c>
      <c r="AE65" s="138">
        <f t="shared" si="1"/>
        <v>-1.0913268236645735E-2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42661</v>
      </c>
      <c r="X66" s="10">
        <v>17.21</v>
      </c>
      <c r="Y66" s="10">
        <v>17.66</v>
      </c>
      <c r="Z66" s="10">
        <v>17.2</v>
      </c>
      <c r="AA66" s="10">
        <v>17.41</v>
      </c>
      <c r="AB66" s="95">
        <v>20103800</v>
      </c>
      <c r="AC66" s="10">
        <v>17.41</v>
      </c>
      <c r="AD66">
        <f t="shared" si="0"/>
        <v>0.46000000000000085</v>
      </c>
      <c r="AE66" s="138">
        <f t="shared" si="1"/>
        <v>2.4720423778693545E-2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42660</v>
      </c>
      <c r="X67" s="10">
        <v>17.02</v>
      </c>
      <c r="Y67" s="10">
        <v>17.170000000000002</v>
      </c>
      <c r="Z67" s="10">
        <v>16.93</v>
      </c>
      <c r="AA67" s="10">
        <v>16.989999999999998</v>
      </c>
      <c r="AB67" s="95">
        <v>12648100</v>
      </c>
      <c r="AC67" s="10">
        <v>16.989999999999998</v>
      </c>
      <c r="AD67">
        <f>Y67-Z67</f>
        <v>0.24000000000000199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4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4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4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4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3"/>
      <c r="H145" s="4"/>
      <c r="I145" s="3"/>
      <c r="J145" s="3"/>
      <c r="K145" s="3"/>
      <c r="L145" s="4"/>
    </row>
    <row r="146" spans="2:12" x14ac:dyDescent="0.25">
      <c r="G146" s="653"/>
      <c r="H146" s="4"/>
      <c r="I146" s="3"/>
      <c r="J146" s="3"/>
      <c r="K146" s="3"/>
      <c r="L146" s="4"/>
    </row>
    <row r="147" spans="2:12" x14ac:dyDescent="0.25">
      <c r="G147" s="653"/>
      <c r="H147" s="4"/>
      <c r="I147" s="3"/>
      <c r="J147" s="3"/>
      <c r="K147" s="3"/>
      <c r="L147" s="4"/>
    </row>
    <row r="148" spans="2:12" x14ac:dyDescent="0.25">
      <c r="G148" s="65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312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6">-C162*(D162-E162)</f>
        <v>-3110.9999999999973</v>
      </c>
      <c r="G162" s="40">
        <f t="shared" ref="G162:G171" si="7">IF(C162=0, 0,D162*C162)</f>
        <v>88179</v>
      </c>
      <c r="H162" s="232">
        <f t="shared" ref="H162:H176" si="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6"/>
        <v>-1812.9999999999875</v>
      </c>
      <c r="G163" s="40">
        <f t="shared" si="7"/>
        <v>84721</v>
      </c>
      <c r="H163" s="232">
        <f t="shared" si="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6"/>
        <v>-5303.9999999999955</v>
      </c>
      <c r="G164" s="40">
        <f t="shared" si="7"/>
        <v>87975</v>
      </c>
      <c r="H164" s="232">
        <f t="shared" si="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6"/>
        <v>2303.5000000000036</v>
      </c>
      <c r="G165" s="40">
        <f t="shared" si="7"/>
        <v>46042.899999999994</v>
      </c>
      <c r="H165" s="232">
        <f t="shared" si="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6"/>
        <v>1305.9000000000083</v>
      </c>
      <c r="G166" s="40">
        <f t="shared" si="7"/>
        <v>49304.979999999996</v>
      </c>
      <c r="H166" s="232">
        <f t="shared" si="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6"/>
        <v>-2283.9999999999918</v>
      </c>
      <c r="G167" s="40">
        <f t="shared" si="7"/>
        <v>96556.1</v>
      </c>
      <c r="H167" s="232">
        <f t="shared" si="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6"/>
        <v>-2355</v>
      </c>
      <c r="G168" s="40">
        <f t="shared" si="7"/>
        <v>79834.5</v>
      </c>
      <c r="H168" s="232">
        <f t="shared" si="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6"/>
        <v>-5211.8000000000056</v>
      </c>
      <c r="G169" s="40">
        <f t="shared" si="7"/>
        <v>85362.200000000012</v>
      </c>
      <c r="H169" s="232">
        <f t="shared" si="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6"/>
        <v>-9899.9999999999909</v>
      </c>
      <c r="G170" s="40">
        <f t="shared" si="7"/>
        <v>99240</v>
      </c>
      <c r="H170" s="232">
        <f t="shared" si="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6"/>
        <v>-7337.0000000000055</v>
      </c>
      <c r="G171" s="40">
        <f t="shared" si="7"/>
        <v>84653.8</v>
      </c>
      <c r="H171" s="232">
        <f t="shared" si="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6"/>
        <v>-6779.9999999999936</v>
      </c>
      <c r="G172" s="40">
        <f t="shared" ref="G172:G199" si="9">IF(C172=0, 0,D172*C172)</f>
        <v>99120</v>
      </c>
      <c r="H172" s="232">
        <f t="shared" si="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6"/>
        <v>-6881.5999999999967</v>
      </c>
      <c r="G173" s="40">
        <f t="shared" si="9"/>
        <v>84400.8</v>
      </c>
      <c r="H173" s="232">
        <f t="shared" si="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6"/>
        <v>-3768.0000000000032</v>
      </c>
      <c r="G174" s="40">
        <f t="shared" si="9"/>
        <v>78798.3</v>
      </c>
      <c r="H174" s="232">
        <f t="shared" si="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6"/>
        <v>-4301.0000000000073</v>
      </c>
      <c r="G175" s="40">
        <f t="shared" si="9"/>
        <v>84350.200000000012</v>
      </c>
      <c r="H175" s="232">
        <f t="shared" si="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6"/>
        <v>-5211.8000000000056</v>
      </c>
      <c r="G176" s="40">
        <f t="shared" si="9"/>
        <v>84198.400000000009</v>
      </c>
      <c r="H176" s="232">
        <f t="shared" si="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6"/>
        <v>-11782.399999999992</v>
      </c>
      <c r="G177" s="40">
        <f t="shared" si="9"/>
        <v>87105.599999999991</v>
      </c>
      <c r="H177" s="232">
        <f t="shared" ref="H177:H199" si="1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6"/>
        <v>-9968.1999999999935</v>
      </c>
      <c r="G178" s="40">
        <f t="shared" si="9"/>
        <v>84147.799999999988</v>
      </c>
      <c r="H178" s="232">
        <f t="shared" si="1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6"/>
        <v>-13054.80000000001</v>
      </c>
      <c r="G179" s="40">
        <f t="shared" si="9"/>
        <v>84097.200000000012</v>
      </c>
      <c r="H179" s="232">
        <f t="shared" si="1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6"/>
        <v>-13079.999999999998</v>
      </c>
      <c r="G180" s="40">
        <f t="shared" si="9"/>
        <v>97320</v>
      </c>
      <c r="H180" s="232">
        <f t="shared" si="1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6"/>
        <v>-13020.000000000009</v>
      </c>
      <c r="G181" s="40">
        <f t="shared" si="9"/>
        <v>100068</v>
      </c>
      <c r="H181" s="232">
        <f t="shared" si="1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6"/>
        <v>-13043.880000000006</v>
      </c>
      <c r="G182" s="40">
        <f t="shared" si="9"/>
        <v>93366.720000000001</v>
      </c>
      <c r="H182" s="232">
        <f t="shared" si="1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6"/>
        <v>-13025.958000000004</v>
      </c>
      <c r="G183" s="40">
        <f t="shared" si="9"/>
        <v>84068.358000000007</v>
      </c>
      <c r="H183" s="232">
        <f t="shared" si="1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6"/>
        <v>-11521.114000000007</v>
      </c>
      <c r="G184" s="40">
        <f t="shared" si="9"/>
        <v>83980.314000000013</v>
      </c>
      <c r="H184" s="232">
        <f t="shared" si="1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6"/>
        <v>-11410.000000000005</v>
      </c>
      <c r="G185" s="40">
        <f t="shared" si="9"/>
        <v>111790</v>
      </c>
      <c r="H185" s="232">
        <f t="shared" si="1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6"/>
        <v>-11220.000000000005</v>
      </c>
      <c r="G186" s="40">
        <f t="shared" si="9"/>
        <v>97380</v>
      </c>
      <c r="H186" s="232">
        <f t="shared" si="1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6"/>
        <v>-11211.199999999997</v>
      </c>
      <c r="G187" s="40">
        <f t="shared" si="9"/>
        <v>90191.2</v>
      </c>
      <c r="H187" s="232">
        <f t="shared" si="1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6"/>
        <v>-9664.6</v>
      </c>
      <c r="G188" s="40">
        <f t="shared" si="9"/>
        <v>83743</v>
      </c>
      <c r="H188" s="232">
        <f t="shared" si="1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6"/>
        <v>-9794.1360000000041</v>
      </c>
      <c r="G189" s="40">
        <f t="shared" si="9"/>
        <v>83720.736000000004</v>
      </c>
      <c r="H189" s="232">
        <f t="shared" si="1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6"/>
        <v>-16274.965999999995</v>
      </c>
      <c r="G190" s="40">
        <f t="shared" si="9"/>
        <v>86390.766000000003</v>
      </c>
      <c r="H190" s="232">
        <f t="shared" si="1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6"/>
        <v>-29899.999999999993</v>
      </c>
      <c r="G191" s="40">
        <f t="shared" si="9"/>
        <v>83600</v>
      </c>
      <c r="H191" s="232">
        <f t="shared" si="1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6"/>
        <v>-28718.02199999999</v>
      </c>
      <c r="G192" s="40">
        <f t="shared" si="9"/>
        <v>86367.621999999988</v>
      </c>
      <c r="H192" s="232">
        <f t="shared" si="1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6"/>
        <v>-30321.199999999997</v>
      </c>
      <c r="G193" s="40">
        <f t="shared" si="9"/>
        <v>81015.199999999997</v>
      </c>
      <c r="H193" s="232">
        <f t="shared" si="1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6"/>
        <v>-29806.800000000003</v>
      </c>
      <c r="G194" s="40">
        <f t="shared" si="9"/>
        <v>72786.8</v>
      </c>
      <c r="H194" s="232">
        <f t="shared" si="1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6"/>
        <v>-29239.199999999993</v>
      </c>
      <c r="G195" s="40">
        <f t="shared" si="9"/>
        <v>68155.199999999997</v>
      </c>
      <c r="H195" s="232">
        <f t="shared" si="1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6"/>
        <v>-30856.212000000007</v>
      </c>
      <c r="G196" s="40">
        <f t="shared" si="9"/>
        <v>86033.612000000008</v>
      </c>
      <c r="H196" s="232">
        <f t="shared" si="1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6"/>
        <v>-24651.563999999995</v>
      </c>
      <c r="G197" s="40">
        <f t="shared" si="9"/>
        <v>80248.363999999987</v>
      </c>
      <c r="H197" s="232">
        <f t="shared" si="1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6"/>
        <v>-24751.381000000001</v>
      </c>
      <c r="G198" s="40">
        <f t="shared" si="9"/>
        <v>86009.581000000006</v>
      </c>
      <c r="H198" s="232">
        <f t="shared" si="1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6"/>
        <v>-28613.610000000004</v>
      </c>
      <c r="G199" s="40">
        <f t="shared" si="9"/>
        <v>86010.11</v>
      </c>
      <c r="H199" s="232">
        <f t="shared" si="1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11">-C200*(D200-E200)</f>
        <v>-28406.616000000002</v>
      </c>
      <c r="G200" s="40">
        <f t="shared" ref="G200:G238" si="12">IF(C200=0, 0,D200*C200)</f>
        <v>85963.266000000003</v>
      </c>
      <c r="H200" s="232">
        <f t="shared" ref="H200:H238" si="1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11"/>
        <v>-27248.360000000008</v>
      </c>
      <c r="G201" s="40">
        <f t="shared" si="12"/>
        <v>85919.360000000015</v>
      </c>
      <c r="H201" s="232">
        <f t="shared" si="1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11"/>
        <v>-26871.468499999992</v>
      </c>
      <c r="G202" s="40">
        <f t="shared" si="12"/>
        <v>84298.1685</v>
      </c>
      <c r="H202" s="232">
        <f t="shared" si="1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11"/>
        <v>-24742.084500000001</v>
      </c>
      <c r="G203" s="40">
        <f t="shared" si="12"/>
        <v>70382.784499999994</v>
      </c>
      <c r="H203" s="232">
        <f t="shared" si="1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11"/>
        <v>-25084.414000000001</v>
      </c>
      <c r="G204" s="40">
        <f t="shared" si="12"/>
        <v>85258.813999999998</v>
      </c>
      <c r="H204" s="232">
        <f t="shared" si="1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11"/>
        <v>-29256.487999999998</v>
      </c>
      <c r="G205" s="40">
        <f t="shared" si="12"/>
        <v>86340.487999999998</v>
      </c>
      <c r="H205" s="232">
        <f t="shared" si="1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11"/>
        <v>-27809.620000000003</v>
      </c>
      <c r="G206" s="40">
        <f t="shared" si="12"/>
        <v>85248.82</v>
      </c>
      <c r="H206" s="232">
        <f t="shared" si="1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11"/>
        <v>-30544.820000000003</v>
      </c>
      <c r="G207" s="40">
        <f t="shared" si="12"/>
        <v>85248.82</v>
      </c>
      <c r="H207" s="232">
        <f t="shared" si="1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11"/>
        <v>-30549.887999999995</v>
      </c>
      <c r="G208" s="40">
        <f t="shared" si="12"/>
        <v>90453.887999999992</v>
      </c>
      <c r="H208" s="232">
        <f t="shared" si="1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11"/>
        <v>-28441.346000000009</v>
      </c>
      <c r="G209" s="40">
        <f t="shared" si="12"/>
        <v>85038.946000000011</v>
      </c>
      <c r="H209" s="232">
        <f t="shared" si="13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11"/>
        <v>-31628.763999999996</v>
      </c>
      <c r="G210" s="40">
        <f t="shared" si="12"/>
        <v>91224.963999999993</v>
      </c>
      <c r="H210" s="232">
        <f t="shared" si="1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11"/>
        <v>-27540.307999999997</v>
      </c>
      <c r="G211" s="40">
        <f t="shared" si="12"/>
        <v>84769.108000000007</v>
      </c>
      <c r="H211" s="232">
        <f t="shared" si="1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11"/>
        <v>-28697.508000000002</v>
      </c>
      <c r="G212" s="40">
        <f t="shared" si="12"/>
        <v>84769.108000000007</v>
      </c>
      <c r="H212" s="232">
        <f t="shared" si="1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11"/>
        <v>-24361.662</v>
      </c>
      <c r="G213" s="40">
        <f t="shared" si="12"/>
        <v>73394.262000000002</v>
      </c>
      <c r="H213" s="232">
        <f t="shared" si="1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11"/>
        <v>-23878.821999999989</v>
      </c>
      <c r="G214" s="40">
        <f t="shared" si="12"/>
        <v>84684.421999999991</v>
      </c>
      <c r="H214" s="232">
        <f t="shared" si="1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11"/>
        <v>-23451.183999999997</v>
      </c>
      <c r="G215" s="40">
        <f t="shared" si="12"/>
        <v>84572.383999999991</v>
      </c>
      <c r="H215" s="232">
        <f t="shared" si="1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11"/>
        <v>-28042.299999999996</v>
      </c>
      <c r="G216" s="40">
        <f t="shared" si="12"/>
        <v>87167.3</v>
      </c>
      <c r="H216" s="232">
        <f t="shared" si="1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11"/>
        <v>-32191.9</v>
      </c>
      <c r="G217" s="40">
        <f t="shared" si="12"/>
        <v>97191.900000000009</v>
      </c>
      <c r="H217" s="232">
        <f t="shared" si="1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11"/>
        <v>-31551.299999999996</v>
      </c>
      <c r="G218" s="40">
        <f t="shared" si="12"/>
        <v>86881.3</v>
      </c>
      <c r="H218" s="232">
        <f t="shared" si="1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11"/>
        <v>-34151.30000000001</v>
      </c>
      <c r="G219" s="40">
        <f t="shared" si="12"/>
        <v>115921.3</v>
      </c>
      <c r="H219" s="232">
        <f t="shared" si="1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11"/>
        <v>-33961.949999999997</v>
      </c>
      <c r="G220" s="40">
        <f t="shared" si="12"/>
        <v>86651.95</v>
      </c>
      <c r="H220" s="232">
        <f t="shared" si="1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11"/>
        <v>-27277.000000000004</v>
      </c>
      <c r="G221" s="40">
        <f t="shared" si="12"/>
        <v>81277.000000000015</v>
      </c>
      <c r="H221" s="232">
        <f t="shared" si="1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11"/>
        <v>-23679.899999999991</v>
      </c>
      <c r="G222" s="40">
        <f t="shared" si="12"/>
        <v>75384.899999999994</v>
      </c>
      <c r="H222" s="232">
        <f t="shared" si="1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11"/>
        <v>-23160.150000000005</v>
      </c>
      <c r="G223" s="40">
        <f t="shared" si="12"/>
        <v>75360.150000000009</v>
      </c>
      <c r="H223" s="232">
        <f t="shared" si="1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11"/>
        <v>-21580</v>
      </c>
      <c r="G224" s="40">
        <f t="shared" si="12"/>
        <v>69380</v>
      </c>
      <c r="H224" s="232">
        <f t="shared" si="1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11"/>
        <v>-20050.800000000003</v>
      </c>
      <c r="G225" s="40">
        <f t="shared" si="12"/>
        <v>69290.8</v>
      </c>
      <c r="H225" s="232">
        <f t="shared" si="1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11"/>
        <v>-16837.537500000002</v>
      </c>
      <c r="G226" s="40">
        <f t="shared" si="12"/>
        <v>61016.287500000006</v>
      </c>
      <c r="H226" s="232">
        <f t="shared" si="1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11"/>
        <v>-17476.399999999998</v>
      </c>
      <c r="G227" s="40">
        <f t="shared" si="12"/>
        <v>68916.399999999994</v>
      </c>
      <c r="H227" s="232">
        <f t="shared" si="1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11"/>
        <v>-18696.400000000005</v>
      </c>
      <c r="G228" s="40">
        <f t="shared" si="12"/>
        <v>68736.400000000009</v>
      </c>
      <c r="H228" s="232">
        <f t="shared" si="1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11"/>
        <v>-20214.768</v>
      </c>
      <c r="G229" s="40">
        <f t="shared" si="12"/>
        <v>78001.168000000005</v>
      </c>
      <c r="H229" s="232">
        <f t="shared" si="1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11"/>
        <v>-21262.920000000002</v>
      </c>
      <c r="G230" s="40">
        <f t="shared" si="12"/>
        <v>78002.12</v>
      </c>
      <c r="H230" s="232">
        <f t="shared" si="1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11"/>
        <v>-20999.216</v>
      </c>
      <c r="G231" s="40">
        <f t="shared" si="12"/>
        <v>77881.216</v>
      </c>
      <c r="H231" s="232">
        <f t="shared" si="1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11"/>
        <v>-19042.620000000006</v>
      </c>
      <c r="G232" s="40">
        <f t="shared" si="12"/>
        <v>75714.62000000001</v>
      </c>
      <c r="H232" s="232">
        <f t="shared" si="1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11"/>
        <v>-17040.800000000003</v>
      </c>
      <c r="G233" s="40">
        <f t="shared" si="12"/>
        <v>68040.800000000003</v>
      </c>
      <c r="H233" s="232">
        <f t="shared" si="1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11"/>
        <v>-12255.250000000002</v>
      </c>
      <c r="G234" s="40">
        <f t="shared" si="12"/>
        <v>47380.250000000007</v>
      </c>
      <c r="H234" s="232">
        <f t="shared" si="1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11"/>
        <v>-13580.100000000006</v>
      </c>
      <c r="G235" s="40">
        <f t="shared" si="12"/>
        <v>54140.100000000006</v>
      </c>
      <c r="H235" s="232">
        <f t="shared" si="1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11"/>
        <v>-13760.25</v>
      </c>
      <c r="G236" s="40">
        <f t="shared" si="12"/>
        <v>60870.25</v>
      </c>
      <c r="H236" s="232">
        <f t="shared" si="1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11"/>
        <v>-14250</v>
      </c>
      <c r="G237" s="40">
        <f t="shared" si="12"/>
        <v>67530</v>
      </c>
      <c r="H237" s="232">
        <f t="shared" si="1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11"/>
        <v>-19047.14</v>
      </c>
      <c r="G238" s="40">
        <f t="shared" si="12"/>
        <v>77261.94</v>
      </c>
      <c r="H238" s="232">
        <f t="shared" si="1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14">-C239*(D239-E239)</f>
        <v>-19222.143999999993</v>
      </c>
      <c r="G239" s="40">
        <f t="shared" ref="G239:G240" si="15">IF(C239=0, 0,D239*C239)</f>
        <v>83551.944000000003</v>
      </c>
      <c r="H239" s="232">
        <f t="shared" ref="H239:H240" si="1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14"/>
        <v>-15240.149999999998</v>
      </c>
      <c r="G240" s="40">
        <f t="shared" si="15"/>
        <v>73695.149999999994</v>
      </c>
      <c r="H240" s="232">
        <f t="shared" si="1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17">-C241*(D241-E241)</f>
        <v>-14340.15</v>
      </c>
      <c r="G241" s="40">
        <f t="shared" ref="G241:G243" si="18">IF(C241=0, 0,D241*C241)</f>
        <v>73695.149999999994</v>
      </c>
      <c r="H241" s="232">
        <f t="shared" ref="H241:H243" si="1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17"/>
        <v>-11794.000000000004</v>
      </c>
      <c r="G242" s="40">
        <f t="shared" si="18"/>
        <v>66834</v>
      </c>
      <c r="H242" s="232">
        <f t="shared" si="1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17"/>
        <v>-11115.000000000004</v>
      </c>
      <c r="G243" s="40">
        <f t="shared" si="18"/>
        <v>73035</v>
      </c>
      <c r="H243" s="232">
        <f t="shared" si="19"/>
        <v>-0.15218730745532968</v>
      </c>
      <c r="I243" s="40" t="s">
        <v>239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0">-C244*(D244-E244)</f>
        <v>-16785.000000000004</v>
      </c>
      <c r="G244" s="40">
        <f t="shared" ref="G244:G245" si="21">IF(C244=0, 0,D244*C244)</f>
        <v>73035</v>
      </c>
      <c r="H244" s="232">
        <f t="shared" ref="H244:H245" si="2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0"/>
        <v>-19431.5</v>
      </c>
      <c r="G245" s="40">
        <f t="shared" si="21"/>
        <v>78981.5</v>
      </c>
      <c r="H245" s="232">
        <f t="shared" si="2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23">-C246*(D246-E246)</f>
        <v>-17741.700000000012</v>
      </c>
      <c r="G246" s="40">
        <f t="shared" ref="G246" si="24">IF(C246=0, 0,D246*C246)</f>
        <v>72641.700000000012</v>
      </c>
      <c r="H246" s="232">
        <f t="shared" ref="H246" si="2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26">-C247*(D247-E247)</f>
        <v>-15851.700000000012</v>
      </c>
      <c r="G247" s="40">
        <f t="shared" ref="G247" si="27">IF(C247=0, 0,D247*C247)</f>
        <v>72641.700000000012</v>
      </c>
      <c r="H247" s="232">
        <f t="shared" ref="H247" si="2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29">-C248*(D248-E248)</f>
        <v>-15763.5</v>
      </c>
      <c r="G248" s="40">
        <f t="shared" ref="G248" si="30">IF(C248=0, 0,D248*C248)</f>
        <v>72643.5</v>
      </c>
      <c r="H248" s="232">
        <f t="shared" ref="H248" si="3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32">-C249*(D249-E249)</f>
        <v>-13333.500000000004</v>
      </c>
      <c r="G249" s="40">
        <f t="shared" ref="G249" si="33">IF(C249=0, 0,D249*C249)</f>
        <v>72643.5</v>
      </c>
      <c r="H249" s="232">
        <f t="shared" ref="H249" si="3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35">-C250*(D250-E250)</f>
        <v>-10052</v>
      </c>
      <c r="G250" s="40">
        <f t="shared" ref="G250" si="36">IF(C250=0, 0,D250*C250)</f>
        <v>65732</v>
      </c>
      <c r="H250" s="232">
        <f t="shared" ref="H250" si="3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38">-C251*(D251-E251)</f>
        <v>-7249.2800000000043</v>
      </c>
      <c r="G251" s="40">
        <f t="shared" ref="G251" si="39">IF(C251=0, 0,D251*C251)</f>
        <v>54193.280000000006</v>
      </c>
      <c r="H251" s="232">
        <f t="shared" ref="H251" si="4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41">-C252*(D252-E252)</f>
        <v>-8771.3200000000015</v>
      </c>
      <c r="G252" s="40">
        <f t="shared" ref="G252:G253" si="42">IF(C252=0, 0,D252*C252)</f>
        <v>57017.32</v>
      </c>
      <c r="H252" s="232">
        <f t="shared" ref="H252:H253" si="4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41"/>
        <v>-10069.200000000003</v>
      </c>
      <c r="G253" s="40">
        <f t="shared" si="42"/>
        <v>65309.200000000004</v>
      </c>
      <c r="H253" s="232">
        <f t="shared" si="4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44">-C254*(D254-E254)</f>
        <v>-10289.249999999993</v>
      </c>
      <c r="G254" s="40">
        <f t="shared" ref="G254:G258" si="45">IF(C254=0, 0,D254*C254)</f>
        <v>72119.25</v>
      </c>
      <c r="H254" s="232">
        <f t="shared" ref="H254:H258" si="4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44"/>
        <v>-11755.169999999996</v>
      </c>
      <c r="G255" s="40">
        <f t="shared" si="45"/>
        <v>74735.17</v>
      </c>
      <c r="H255" s="232">
        <f t="shared" si="4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44"/>
        <v>-8821.7999999999993</v>
      </c>
      <c r="G256" s="40">
        <f t="shared" si="45"/>
        <v>71956.800000000003</v>
      </c>
      <c r="H256" s="232">
        <f t="shared" si="46"/>
        <v>-0.12259855913548129</v>
      </c>
      <c r="I256" s="40" t="s">
        <v>282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44"/>
        <v>-6552.0000000000064</v>
      </c>
      <c r="G257" s="40">
        <f t="shared" si="45"/>
        <v>64632.000000000007</v>
      </c>
      <c r="H257" s="232">
        <f t="shared" si="4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44"/>
        <v>-7832.0000000000082</v>
      </c>
      <c r="G258" s="40">
        <f t="shared" si="45"/>
        <v>64632.000000000007</v>
      </c>
      <c r="H258" s="232">
        <f t="shared" si="4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47">-C259*(D259-E259)</f>
        <v>-3677.4000000000024</v>
      </c>
      <c r="G259" s="40">
        <f t="shared" ref="G259:G260" si="48">IF(C259=0, 0,D259*C259)</f>
        <v>34737.4</v>
      </c>
      <c r="H259" s="232">
        <f t="shared" ref="H259:H260" si="4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47"/>
        <v>-3622.5999999999985</v>
      </c>
      <c r="G260" s="40">
        <f t="shared" si="48"/>
        <v>34662.6</v>
      </c>
      <c r="H260" s="232">
        <f t="shared" si="4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0">-C261*(D261-E261)</f>
        <v>-3122.5999999999985</v>
      </c>
      <c r="G261" s="40">
        <f t="shared" ref="G261" si="51">IF(C261=0, 0,D261*C261)</f>
        <v>34662.6</v>
      </c>
      <c r="H261" s="232">
        <f t="shared" ref="H261" si="5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53">-C262*(D262-E262)</f>
        <v>-2162.5999999999976</v>
      </c>
      <c r="G262" s="40">
        <f t="shared" ref="G262" si="54">IF(C262=0, 0,D262*C262)</f>
        <v>34662.6</v>
      </c>
      <c r="H262" s="232">
        <f t="shared" ref="H262" si="5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56">-C263*(D263-E263)</f>
        <v>-2282.5999999999949</v>
      </c>
      <c r="G263" s="40">
        <f t="shared" ref="G263" si="57">IF(C263=0, 0,D263*C263)</f>
        <v>34662.6</v>
      </c>
      <c r="H263" s="232">
        <f t="shared" ref="H263" si="5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59">-C264*(D264-E264)</f>
        <v>-2262.599999999999</v>
      </c>
      <c r="G264" s="40">
        <f t="shared" ref="G264" si="60">IF(C264=0, 0,D264*C264)</f>
        <v>34662.6</v>
      </c>
      <c r="H264" s="232">
        <f t="shared" ref="H264" si="6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62">-C265*(D265-E265)</f>
        <v>-842.59999999999741</v>
      </c>
      <c r="G265" s="40">
        <f t="shared" ref="G265" si="63">IF(C265=0, 0,D265*C265)</f>
        <v>34662.6</v>
      </c>
      <c r="H265" s="232">
        <f t="shared" ref="H265" si="6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65">-C266*(D266-E266)</f>
        <v>-1182.6000000000008</v>
      </c>
      <c r="G266" s="40">
        <f t="shared" ref="G266" si="66">IF(C266=0, 0,D266*C266)</f>
        <v>34662.6</v>
      </c>
      <c r="H266" s="232">
        <f t="shared" ref="H266" si="6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68">-C267*(D267-E267)</f>
        <v>-1262.599999999999</v>
      </c>
      <c r="G267" s="40">
        <f t="shared" ref="G267:G268" si="69">IF(C267=0, 0,D267*C267)</f>
        <v>34662.6</v>
      </c>
      <c r="H267" s="232">
        <f t="shared" ref="H267:H268" si="7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68"/>
        <v>-527.79999999999916</v>
      </c>
      <c r="G268" s="40">
        <f t="shared" si="69"/>
        <v>34547.800000000003</v>
      </c>
      <c r="H268" s="232">
        <f t="shared" si="7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71">-C269*(D269-E269)</f>
        <v>-148.00000000000324</v>
      </c>
      <c r="G269" s="40">
        <f t="shared" ref="G269:G271" si="72">IF(C269=0, 0,D269*C269)</f>
        <v>34468</v>
      </c>
      <c r="H269" s="232">
        <f t="shared" ref="H269:H271" si="7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71"/>
        <v>421.79999999999751</v>
      </c>
      <c r="G270" s="40">
        <f t="shared" si="72"/>
        <v>25753.200000000001</v>
      </c>
      <c r="H270" s="232">
        <f t="shared" si="7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71"/>
        <v>-655.79999999999927</v>
      </c>
      <c r="G271" s="40">
        <f t="shared" si="72"/>
        <v>34275.799999999996</v>
      </c>
      <c r="H271" s="232">
        <f t="shared" si="7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74">-C272*(D272-E272)</f>
        <v>24.200000000000443</v>
      </c>
      <c r="G272" s="40">
        <f t="shared" ref="G272:G273" si="75">IF(C272=0, 0,D272*C272)</f>
        <v>34275.799999999996</v>
      </c>
      <c r="H272" s="232">
        <f t="shared" ref="H272:H273" si="7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74"/>
        <v>-748.650000000001</v>
      </c>
      <c r="G273" s="40">
        <f t="shared" si="75"/>
        <v>35923.65</v>
      </c>
      <c r="H273" s="232">
        <f t="shared" si="7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77">-C274*(D274-E274)</f>
        <v>-370.65000000000163</v>
      </c>
      <c r="G274" s="40">
        <f t="shared" ref="G274" si="78">IF(C274=0, 0,D274*C274)</f>
        <v>35923.65</v>
      </c>
      <c r="H274" s="232">
        <f t="shared" ref="H274" si="7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0">-C275*(D275-E275)</f>
        <v>721.34999999999752</v>
      </c>
      <c r="G275" s="40">
        <f t="shared" ref="G275" si="81">IF(C275=0, 0,D275*C275)</f>
        <v>35923.65</v>
      </c>
      <c r="H275" s="232">
        <f t="shared" ref="H275" si="8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83">-C276*(D276-E276)</f>
        <v>784.34999999999991</v>
      </c>
      <c r="G276" s="40">
        <f t="shared" ref="G276" si="84">IF(C276=0, 0,D276*C276)</f>
        <v>35923.65</v>
      </c>
      <c r="H276" s="232">
        <f t="shared" ref="H276" si="8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86">-C277*(D277-E277)</f>
        <v>-328.71300000000014</v>
      </c>
      <c r="G277" s="40">
        <f t="shared" ref="G277:G278" si="87">IF(C277=0, 0,D277*C277)</f>
        <v>35923.712999999996</v>
      </c>
      <c r="H277" s="232">
        <f t="shared" ref="H277:H278" si="8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86"/>
        <v>1147.1040000000016</v>
      </c>
      <c r="G278" s="40">
        <f t="shared" si="87"/>
        <v>27108.895999999997</v>
      </c>
      <c r="H278" s="232">
        <f t="shared" si="8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89">-C279*(D279-E279)</f>
        <v>1035.1040000000012</v>
      </c>
      <c r="G279" s="40">
        <f t="shared" ref="G279" si="90">IF(C279=0, 0,D279*C279)</f>
        <v>27108.895999999997</v>
      </c>
      <c r="H279" s="232">
        <f t="shared" ref="H279" si="9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92">-C280*(D280-E280)</f>
        <v>1691.1040000000014</v>
      </c>
      <c r="G280" s="40">
        <f t="shared" ref="G280:G281" si="93">IF(C280=0, 0,D280*C280)</f>
        <v>27108.895999999997</v>
      </c>
      <c r="H280" s="232">
        <f t="shared" ref="H280:H281" si="9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92"/>
        <v>829.27800000000434</v>
      </c>
      <c r="G281" s="40">
        <f t="shared" si="93"/>
        <v>30562.721999999998</v>
      </c>
      <c r="H281" s="232">
        <f t="shared" si="9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95">-C282*(D282-E282)</f>
        <v>1441.2780000000041</v>
      </c>
      <c r="G282" s="40">
        <f t="shared" ref="G282:G283" si="96">IF(C282=0, 0,D282*C282)</f>
        <v>30562.721999999998</v>
      </c>
      <c r="H282" s="232">
        <f t="shared" ref="H282:H283" si="9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95"/>
        <v>1621.2799999999988</v>
      </c>
      <c r="G283" s="40">
        <f t="shared" si="96"/>
        <v>33978.720000000001</v>
      </c>
      <c r="H283" s="232">
        <f t="shared" si="97"/>
        <v>4.7714569589437116E-2</v>
      </c>
      <c r="I283" s="549" t="s">
        <v>313</v>
      </c>
      <c r="J283" s="202" t="s">
        <v>311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98">-C284*(D284-E284)</f>
        <v>1421.2799999999959</v>
      </c>
      <c r="G284" s="40">
        <f t="shared" ref="G284:G286" si="99">IF(C284=0, 0,D284*C284)</f>
        <v>33978.720000000001</v>
      </c>
      <c r="H284" s="232">
        <f t="shared" ref="H284:H286" si="10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98"/>
        <v>987.2939999999993</v>
      </c>
      <c r="G285" s="40">
        <f t="shared" si="99"/>
        <v>37314.705999999998</v>
      </c>
      <c r="H285" s="232">
        <f t="shared" si="10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98"/>
        <v>563.20000000000186</v>
      </c>
      <c r="G286" s="40">
        <f t="shared" si="99"/>
        <v>33866.799999999996</v>
      </c>
      <c r="H286" s="232">
        <f t="shared" si="10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01">-C287*(D287-E287)</f>
        <v>13.200000000004763</v>
      </c>
      <c r="G287" s="40">
        <f t="shared" ref="G287:G292" si="102">IF(C287=0, 0,D287*C287)</f>
        <v>33866.799999999996</v>
      </c>
      <c r="H287" s="232">
        <f t="shared" ref="H287:H292" si="10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01"/>
        <v>1215.1259999999966</v>
      </c>
      <c r="G288" s="40">
        <f t="shared" si="102"/>
        <v>30356.874000000003</v>
      </c>
      <c r="H288" s="232">
        <f t="shared" si="10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01"/>
        <v>1490.8199999999993</v>
      </c>
      <c r="G289" s="40">
        <f t="shared" si="102"/>
        <v>16149.18</v>
      </c>
      <c r="H289" s="232">
        <f t="shared" si="10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01"/>
        <v>1396.8179999999988</v>
      </c>
      <c r="G290" s="40">
        <f t="shared" si="102"/>
        <v>30157.182000000004</v>
      </c>
      <c r="H290" s="232">
        <f t="shared" si="10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01"/>
        <v>1418.8200000000038</v>
      </c>
      <c r="G291" s="40">
        <f t="shared" si="102"/>
        <v>33641.18</v>
      </c>
      <c r="H291" s="232">
        <f t="shared" si="10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01"/>
        <v>894.66600000000085</v>
      </c>
      <c r="G292" s="40">
        <f t="shared" si="102"/>
        <v>33505.333999999995</v>
      </c>
      <c r="H292" s="232">
        <f t="shared" si="103"/>
        <v>2.6702196133905155E-2</v>
      </c>
      <c r="I292" s="549" t="s">
        <v>327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04">-C293*(D293-E293)</f>
        <v>814.66600000000255</v>
      </c>
      <c r="G293" s="40">
        <f t="shared" ref="G293:G294" si="105">IF(C293=0, 0,D293*C293)</f>
        <v>33505.333999999995</v>
      </c>
      <c r="H293" s="232">
        <f t="shared" ref="H293:H294" si="106">IF(C293=0, D293, (E293-D293)/D293)</f>
        <v>2.4314516608012402E-2</v>
      </c>
      <c r="I293" s="202" t="s">
        <v>327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04"/>
        <v>914.60000000000014</v>
      </c>
      <c r="G294" s="40">
        <f t="shared" si="105"/>
        <v>33485.4</v>
      </c>
      <c r="H294" s="232">
        <f t="shared" si="106"/>
        <v>2.731339628614262E-2</v>
      </c>
      <c r="I294" s="549" t="s">
        <v>327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07">-C295*(D295-E295)</f>
        <v>-135.39999999999708</v>
      </c>
      <c r="G295" s="40">
        <f t="shared" ref="G295:G306" si="108">IF(C295=0, 0,D295*C295)</f>
        <v>33485.4</v>
      </c>
      <c r="H295" s="232">
        <f t="shared" ref="H295:H306" si="10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07"/>
        <v>-85.39999999999992</v>
      </c>
      <c r="G296" s="40">
        <f t="shared" si="108"/>
        <v>33445.4</v>
      </c>
      <c r="H296" s="232">
        <f t="shared" si="109"/>
        <v>-2.5534154173668102E-3</v>
      </c>
      <c r="I296" s="549" t="s">
        <v>327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07"/>
        <v>6304.4477999999999</v>
      </c>
      <c r="G297" s="40">
        <f t="shared" si="108"/>
        <v>29929.552199999998</v>
      </c>
      <c r="H297" s="232">
        <f t="shared" si="10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07"/>
        <v>6185.8829999999971</v>
      </c>
      <c r="G298" s="40">
        <f t="shared" si="108"/>
        <v>26913.117000000002</v>
      </c>
      <c r="H298" s="232">
        <f t="shared" si="10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07"/>
        <v>3488.9400000000032</v>
      </c>
      <c r="G299" s="40">
        <f t="shared" si="108"/>
        <v>29775.059999999998</v>
      </c>
      <c r="H299" s="232">
        <f t="shared" si="10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07"/>
        <v>3544.800000000002</v>
      </c>
      <c r="G300" s="40">
        <f t="shared" si="108"/>
        <v>33415.199999999997</v>
      </c>
      <c r="H300" s="232">
        <f t="shared" si="10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07"/>
        <v>4164.8400000000011</v>
      </c>
      <c r="G301" s="40">
        <f t="shared" si="108"/>
        <v>29657.159999999996</v>
      </c>
      <c r="H301" s="232">
        <f t="shared" si="10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07"/>
        <v>4696.7399999999952</v>
      </c>
      <c r="G302" s="40">
        <f t="shared" si="108"/>
        <v>29611.260000000002</v>
      </c>
      <c r="H302" s="232">
        <f t="shared" si="10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07"/>
        <v>6995.4000000000015</v>
      </c>
      <c r="G303" s="40">
        <f t="shared" si="108"/>
        <v>13444.599999999999</v>
      </c>
      <c r="H303" s="232">
        <f t="shared" si="10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07"/>
        <v>6822.3599999999979</v>
      </c>
      <c r="G304" s="40">
        <f t="shared" si="108"/>
        <v>29213.640000000003</v>
      </c>
      <c r="H304" s="232">
        <f t="shared" si="10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07"/>
        <v>6817.7999999999993</v>
      </c>
      <c r="G305" s="40">
        <f t="shared" si="108"/>
        <v>26215.200000000001</v>
      </c>
      <c r="H305" s="232">
        <f t="shared" si="10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07"/>
        <v>7021.4999999999991</v>
      </c>
      <c r="G306" s="40">
        <f t="shared" si="108"/>
        <v>24180</v>
      </c>
      <c r="H306" s="232">
        <f t="shared" si="10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0">-C307*(D307-E307)</f>
        <v>11780</v>
      </c>
      <c r="G307" s="40">
        <f t="shared" ref="G307" si="111">IF(C307=0, 0,D307*C307)</f>
        <v>24180</v>
      </c>
      <c r="H307" s="232">
        <f t="shared" ref="H307" si="11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13">-C308*(D308-E308)</f>
        <v>10338.5</v>
      </c>
      <c r="G308" s="40">
        <f t="shared" ref="G308:G309" si="114">IF(C308=0, 0,D308*C308)</f>
        <v>24180</v>
      </c>
      <c r="H308" s="232">
        <f t="shared" ref="H308:H309" si="11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13"/>
        <v>10852.117300000002</v>
      </c>
      <c r="G309" s="40">
        <f t="shared" si="114"/>
        <v>24100.382699999998</v>
      </c>
      <c r="H309" s="232">
        <f t="shared" si="11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1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1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1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1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1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1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1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1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1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1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1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1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1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1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1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1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1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1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1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1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1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17"/>
        <v>1795</v>
      </c>
      <c r="G335" s="648">
        <v>42314</v>
      </c>
      <c r="H335" s="261">
        <v>2200</v>
      </c>
      <c r="I335" s="262">
        <v>17.55</v>
      </c>
      <c r="J335" s="262">
        <v>0.77</v>
      </c>
      <c r="K335" s="262">
        <f t="shared" si="11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17"/>
        <v>1241.5</v>
      </c>
      <c r="G336" s="648"/>
      <c r="H336" s="261">
        <v>190</v>
      </c>
      <c r="I336" s="262">
        <v>17.55</v>
      </c>
      <c r="J336" s="262">
        <v>0</v>
      </c>
      <c r="K336" s="262">
        <f t="shared" si="11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1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1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1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1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1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1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1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1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1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1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1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1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1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1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1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1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1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1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1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1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1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1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1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1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1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1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1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1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1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1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1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1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1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1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1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1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1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1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1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1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1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1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1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1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17"/>
        <v>1610.0000000000002</v>
      </c>
      <c r="G359" s="648">
        <v>42447</v>
      </c>
      <c r="H359" s="267">
        <v>355</v>
      </c>
      <c r="I359" s="262">
        <v>11.13</v>
      </c>
      <c r="J359" s="262">
        <v>0.12</v>
      </c>
      <c r="K359" s="262">
        <f t="shared" si="11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17"/>
        <v>13119.999999999998</v>
      </c>
      <c r="G360" s="648"/>
      <c r="H360" s="267">
        <v>40</v>
      </c>
      <c r="I360" s="262">
        <v>11.13</v>
      </c>
      <c r="J360" s="262">
        <v>0</v>
      </c>
      <c r="K360" s="262">
        <f t="shared" si="11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17"/>
        <v>7900</v>
      </c>
      <c r="G361" s="648"/>
      <c r="H361" s="267">
        <v>105</v>
      </c>
      <c r="I361" s="262">
        <v>11.13</v>
      </c>
      <c r="J361" s="262">
        <v>0</v>
      </c>
      <c r="K361" s="262">
        <f t="shared" si="11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1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1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1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1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1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1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1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1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1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1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1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1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1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1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1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1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1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1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1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1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1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16"/>
        <v>19519.57</v>
      </c>
      <c r="L372" s="261"/>
      <c r="M372" s="261"/>
    </row>
    <row r="373" spans="1:13" x14ac:dyDescent="0.25">
      <c r="A373" s="261"/>
      <c r="B373" s="647">
        <v>42317</v>
      </c>
      <c r="C373" s="261">
        <v>190</v>
      </c>
      <c r="D373" s="262">
        <v>17.100000000000001</v>
      </c>
      <c r="E373" s="262">
        <v>0</v>
      </c>
      <c r="F373" s="262">
        <f t="shared" si="117"/>
        <v>3249.0000000000005</v>
      </c>
      <c r="G373" s="648">
        <v>42510</v>
      </c>
      <c r="H373" s="267">
        <v>240</v>
      </c>
      <c r="I373" s="262">
        <v>10.75</v>
      </c>
      <c r="J373" s="262">
        <v>0.12</v>
      </c>
      <c r="K373" s="262">
        <f t="shared" si="116"/>
        <v>2579.88</v>
      </c>
      <c r="L373" s="261"/>
      <c r="M373" s="261"/>
    </row>
    <row r="374" spans="1:13" x14ac:dyDescent="0.25">
      <c r="A374" s="261"/>
      <c r="B374" s="647"/>
      <c r="C374" s="261">
        <v>2</v>
      </c>
      <c r="D374" s="262">
        <v>17.100000000000001</v>
      </c>
      <c r="E374" s="262">
        <v>0</v>
      </c>
      <c r="F374" s="262">
        <f t="shared" si="117"/>
        <v>34.200000000000003</v>
      </c>
      <c r="G374" s="648"/>
      <c r="H374" s="267">
        <v>260</v>
      </c>
      <c r="I374" s="262">
        <v>10.75</v>
      </c>
      <c r="J374" s="262">
        <v>0</v>
      </c>
      <c r="K374" s="262">
        <f t="shared" si="116"/>
        <v>2795</v>
      </c>
      <c r="L374" s="261"/>
      <c r="M374" s="261"/>
    </row>
    <row r="375" spans="1:13" x14ac:dyDescent="0.25">
      <c r="A375" s="261"/>
      <c r="B375" s="647">
        <v>42318</v>
      </c>
      <c r="C375" s="261">
        <v>8</v>
      </c>
      <c r="D375" s="262">
        <v>16.989999999999998</v>
      </c>
      <c r="E375" s="262">
        <v>0</v>
      </c>
      <c r="F375" s="262">
        <f t="shared" si="11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16"/>
        <v>5684.88</v>
      </c>
      <c r="L375" s="261"/>
      <c r="M375" s="261"/>
    </row>
    <row r="376" spans="1:13" x14ac:dyDescent="0.25">
      <c r="A376" s="261"/>
      <c r="B376" s="647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16"/>
        <v>5769.87</v>
      </c>
      <c r="L376" s="261"/>
      <c r="M376" s="261"/>
    </row>
    <row r="377" spans="1:13" x14ac:dyDescent="0.25">
      <c r="A377" s="261"/>
      <c r="B377" s="647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16"/>
        <v>5879.87</v>
      </c>
      <c r="L377" s="261"/>
      <c r="M377" s="261"/>
    </row>
    <row r="378" spans="1:13" x14ac:dyDescent="0.25">
      <c r="A378" s="261"/>
      <c r="B378" s="647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1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1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1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1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1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1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1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1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1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1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1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1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1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1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1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1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1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1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1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1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1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1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1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1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1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1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1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1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1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1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1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1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1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1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1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1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1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1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1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1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49" t="s">
        <v>206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1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49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1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49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1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1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1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1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1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1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1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1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1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1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1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1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1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1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1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1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1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1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1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1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1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1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1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1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1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1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1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1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1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1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1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1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1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1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2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2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2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2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2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2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0"/>
        <v>7224.84</v>
      </c>
      <c r="L448" s="261"/>
      <c r="M448" s="650" t="s">
        <v>275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2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0"/>
        <v>7439.84</v>
      </c>
      <c r="L449" s="261"/>
      <c r="M449" s="650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2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0"/>
        <v>7489.84</v>
      </c>
      <c r="L450" s="261"/>
      <c r="M450" s="650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2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0"/>
        <v>7739.83</v>
      </c>
      <c r="L451" s="261"/>
      <c r="M451" s="650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2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2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2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2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2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2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2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2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2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2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2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2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2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2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2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21"/>
        <v>0</v>
      </c>
      <c r="G467" s="646" t="s">
        <v>358</v>
      </c>
      <c r="H467" s="261">
        <v>100</v>
      </c>
      <c r="I467" s="262">
        <v>19.68</v>
      </c>
      <c r="J467" s="262">
        <v>0.04</v>
      </c>
      <c r="K467" s="262">
        <f t="shared" si="12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21"/>
        <v>0</v>
      </c>
      <c r="G468" s="646"/>
      <c r="H468" s="261">
        <v>200</v>
      </c>
      <c r="I468" s="262">
        <v>19.88</v>
      </c>
      <c r="J468" s="262">
        <v>0.09</v>
      </c>
      <c r="K468" s="262">
        <f t="shared" si="12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21"/>
        <v>0</v>
      </c>
      <c r="G469" s="646"/>
      <c r="H469" s="261">
        <v>200</v>
      </c>
      <c r="I469" s="262">
        <v>20.32</v>
      </c>
      <c r="J469" s="262">
        <v>0.09</v>
      </c>
      <c r="K469" s="262">
        <f t="shared" si="12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21"/>
        <v>0</v>
      </c>
      <c r="G470" s="646"/>
      <c r="H470" s="261">
        <v>300</v>
      </c>
      <c r="I470" s="262">
        <v>20.53</v>
      </c>
      <c r="J470" s="262">
        <v>0.13</v>
      </c>
      <c r="K470" s="262">
        <f t="shared" si="12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199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59" priority="51">
      <formula>F162&gt;0</formula>
    </cfRule>
    <cfRule type="expression" dxfId="558" priority="52">
      <formula>F162&lt;0</formula>
    </cfRule>
  </conditionalFormatting>
  <conditionalFormatting sqref="H162:H173">
    <cfRule type="expression" dxfId="557" priority="43">
      <formula>H162&gt;0</formula>
    </cfRule>
    <cfRule type="expression" dxfId="556" priority="44">
      <formula>H162&lt;0</formula>
    </cfRule>
  </conditionalFormatting>
  <conditionalFormatting sqref="H174">
    <cfRule type="expression" dxfId="555" priority="33">
      <formula>H174&gt;0</formula>
    </cfRule>
    <cfRule type="expression" dxfId="554" priority="34">
      <formula>H174&lt;0</formula>
    </cfRule>
  </conditionalFormatting>
  <conditionalFormatting sqref="H175">
    <cfRule type="expression" dxfId="553" priority="29">
      <formula>H175&gt;0</formula>
    </cfRule>
    <cfRule type="expression" dxfId="552" priority="30">
      <formula>H175&lt;0</formula>
    </cfRule>
  </conditionalFormatting>
  <conditionalFormatting sqref="H176:H181">
    <cfRule type="expression" dxfId="551" priority="25">
      <formula>H176&gt;0</formula>
    </cfRule>
    <cfRule type="expression" dxfId="550" priority="26">
      <formula>H176&lt;0</formula>
    </cfRule>
  </conditionalFormatting>
  <conditionalFormatting sqref="Q8">
    <cfRule type="expression" dxfId="549" priority="9">
      <formula>Q8&gt;0</formula>
    </cfRule>
    <cfRule type="expression" dxfId="548" priority="10">
      <formula>Q8&lt;0</formula>
    </cfRule>
  </conditionalFormatting>
  <conditionalFormatting sqref="Q7">
    <cfRule type="expression" dxfId="547" priority="11">
      <formula>Q7&gt;0</formula>
    </cfRule>
    <cfRule type="expression" dxfId="546" priority="12">
      <formula>Q7&lt;0</formula>
    </cfRule>
  </conditionalFormatting>
  <conditionalFormatting sqref="F293 H293">
    <cfRule type="expression" dxfId="545" priority="7">
      <formula>F293&gt;0</formula>
    </cfRule>
    <cfRule type="expression" dxfId="544" priority="8">
      <formula>F293&lt;0</formula>
    </cfRule>
  </conditionalFormatting>
  <conditionalFormatting sqref="F35:F44">
    <cfRule type="expression" dxfId="543" priority="5">
      <formula>F35&gt;0</formula>
    </cfRule>
    <cfRule type="expression" dxfId="542" priority="6">
      <formula>F35&lt;0</formula>
    </cfRule>
  </conditionalFormatting>
  <conditionalFormatting sqref="H35:H44">
    <cfRule type="expression" dxfId="541" priority="3">
      <formula>H35&gt;0</formula>
    </cfRule>
    <cfRule type="expression" dxfId="540" priority="4">
      <formula>H35&lt;0</formula>
    </cfRule>
  </conditionalFormatting>
  <conditionalFormatting sqref="Q10">
    <cfRule type="expression" dxfId="539" priority="1">
      <formula>Q10&gt;0</formula>
    </cfRule>
    <cfRule type="expression" dxfId="538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53.75</v>
      </c>
      <c r="Y2" s="103">
        <v>53.96</v>
      </c>
      <c r="Z2" s="103">
        <v>53.13</v>
      </c>
      <c r="AA2" s="103">
        <v>53.69</v>
      </c>
      <c r="AB2" s="101">
        <v>3053700</v>
      </c>
      <c r="AC2" s="100">
        <v>53.69</v>
      </c>
      <c r="AD2" s="2">
        <f>Y2-Z2</f>
        <v>0.82999999999999829</v>
      </c>
      <c r="AE2" s="138">
        <f>AC2/AC3-1</f>
        <v>1.9172361427486573E-2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53.69</v>
      </c>
      <c r="S3" s="115"/>
      <c r="T3" s="17"/>
      <c r="U3" s="17"/>
      <c r="V3" s="17"/>
      <c r="W3" s="99">
        <v>42754</v>
      </c>
      <c r="X3" s="103">
        <v>53.14</v>
      </c>
      <c r="Y3" s="103">
        <v>53.15</v>
      </c>
      <c r="Z3" s="103">
        <v>52.41</v>
      </c>
      <c r="AA3" s="103">
        <v>52.68</v>
      </c>
      <c r="AB3" s="101">
        <v>1934700</v>
      </c>
      <c r="AC3" s="100">
        <v>52.68</v>
      </c>
      <c r="AD3" s="2">
        <f t="shared" ref="AD3:AD66" si="0">Y3-Z3</f>
        <v>0.74000000000000199</v>
      </c>
      <c r="AE3" s="138">
        <f t="shared" ref="AE3:AE66" si="1">AC3/AC4-1</f>
        <v>-6.600037714501239E-3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53.69</v>
      </c>
      <c r="R4" s="526">
        <v>1.9199999999999998E-2</v>
      </c>
      <c r="W4" s="99">
        <v>42753</v>
      </c>
      <c r="X4" s="103">
        <v>53.15</v>
      </c>
      <c r="Y4" s="103">
        <v>53.2</v>
      </c>
      <c r="Z4" s="103">
        <v>52.66</v>
      </c>
      <c r="AA4" s="103">
        <v>53.03</v>
      </c>
      <c r="AB4" s="101">
        <v>2223600</v>
      </c>
      <c r="AC4" s="100">
        <v>53.03</v>
      </c>
      <c r="AD4" s="2">
        <f t="shared" si="0"/>
        <v>0.54000000000000625</v>
      </c>
      <c r="AE4" s="138">
        <f t="shared" si="1"/>
        <v>7.5485940743535984E-4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53.35</v>
      </c>
      <c r="Y5" s="103">
        <v>53.5</v>
      </c>
      <c r="Z5" s="103">
        <v>52.77</v>
      </c>
      <c r="AA5" s="103">
        <v>52.99</v>
      </c>
      <c r="AB5" s="101">
        <v>1799000</v>
      </c>
      <c r="AC5" s="100">
        <v>52.99</v>
      </c>
      <c r="AD5" s="2">
        <f t="shared" si="0"/>
        <v>0.72999999999999687</v>
      </c>
      <c r="AE5" s="138">
        <f t="shared" si="1"/>
        <v>-1.0457516339869244E-2</v>
      </c>
    </row>
    <row r="6" spans="1:31" x14ac:dyDescent="0.25">
      <c r="O6" s="11" t="s">
        <v>64</v>
      </c>
      <c r="Q6" s="2">
        <f>Q3*Q2</f>
        <v>0</v>
      </c>
      <c r="S6" s="85"/>
      <c r="W6" s="99">
        <v>42748</v>
      </c>
      <c r="X6" s="103">
        <v>53.68</v>
      </c>
      <c r="Y6" s="103">
        <v>54.08</v>
      </c>
      <c r="Z6" s="103">
        <v>53.44</v>
      </c>
      <c r="AA6" s="103">
        <v>53.55</v>
      </c>
      <c r="AB6" s="101">
        <v>1694500</v>
      </c>
      <c r="AC6" s="100">
        <v>53.55</v>
      </c>
      <c r="AD6" s="2">
        <f t="shared" si="0"/>
        <v>0.64000000000000057</v>
      </c>
      <c r="AE6" s="138">
        <f t="shared" si="1"/>
        <v>-2.2358859698156097E-3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42747</v>
      </c>
      <c r="X7" s="103">
        <v>53.84</v>
      </c>
      <c r="Y7" s="103">
        <v>54.08</v>
      </c>
      <c r="Z7" s="103">
        <v>53.04</v>
      </c>
      <c r="AA7" s="103">
        <v>53.67</v>
      </c>
      <c r="AB7" s="101">
        <v>1915800</v>
      </c>
      <c r="AC7" s="100">
        <v>53.67</v>
      </c>
      <c r="AD7" s="2">
        <f t="shared" si="0"/>
        <v>1.0399999999999991</v>
      </c>
      <c r="AE7" s="138">
        <f t="shared" si="1"/>
        <v>-8.6811968969338071E-3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53.58</v>
      </c>
      <c r="Y8" s="103">
        <v>54.2</v>
      </c>
      <c r="Z8" s="103">
        <v>53.45</v>
      </c>
      <c r="AA8" s="103">
        <v>54.14</v>
      </c>
      <c r="AB8" s="101">
        <v>1965100</v>
      </c>
      <c r="AC8" s="100">
        <v>54.14</v>
      </c>
      <c r="AD8" s="2">
        <f t="shared" si="0"/>
        <v>0.75</v>
      </c>
      <c r="AE8" s="138">
        <f t="shared" si="1"/>
        <v>6.6939382670136993E-3</v>
      </c>
    </row>
    <row r="9" spans="1:31" x14ac:dyDescent="0.25">
      <c r="O9" s="11" t="s">
        <v>215</v>
      </c>
      <c r="Q9" s="138">
        <f>IF(Q2=0, 0, Q8/Q6)</f>
        <v>0</v>
      </c>
      <c r="W9" s="99">
        <v>42745</v>
      </c>
      <c r="X9" s="103">
        <v>53.7</v>
      </c>
      <c r="Y9" s="103">
        <v>54.22</v>
      </c>
      <c r="Z9" s="103">
        <v>53.45</v>
      </c>
      <c r="AA9" s="103">
        <v>53.78</v>
      </c>
      <c r="AB9" s="101">
        <v>2748600</v>
      </c>
      <c r="AC9" s="100">
        <v>53.78</v>
      </c>
      <c r="AD9" s="2">
        <f t="shared" si="0"/>
        <v>0.76999999999999602</v>
      </c>
      <c r="AE9" s="138">
        <f t="shared" si="1"/>
        <v>2.9839612085043044E-3</v>
      </c>
    </row>
    <row r="10" spans="1:31" x14ac:dyDescent="0.25">
      <c r="O10" s="11" t="s">
        <v>214</v>
      </c>
      <c r="P10" s="34"/>
      <c r="Q10" s="2">
        <f>M30</f>
        <v>119.92000000000053</v>
      </c>
      <c r="W10" s="99">
        <v>42744</v>
      </c>
      <c r="X10" s="103">
        <v>53.7</v>
      </c>
      <c r="Y10" s="103">
        <v>54.17</v>
      </c>
      <c r="Z10" s="103">
        <v>53.42</v>
      </c>
      <c r="AA10" s="103">
        <v>53.62</v>
      </c>
      <c r="AB10" s="101">
        <v>2987000</v>
      </c>
      <c r="AC10" s="100">
        <v>53.62</v>
      </c>
      <c r="AD10" s="2">
        <f t="shared" si="0"/>
        <v>0.75</v>
      </c>
      <c r="AE10" s="138">
        <f t="shared" si="1"/>
        <v>-1.8615040953090523E-3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42741</v>
      </c>
      <c r="X11" s="103">
        <v>53.56</v>
      </c>
      <c r="Y11" s="103">
        <v>53.93</v>
      </c>
      <c r="Z11" s="103">
        <v>53.26</v>
      </c>
      <c r="AA11" s="103">
        <v>53.72</v>
      </c>
      <c r="AB11" s="101">
        <v>1253500</v>
      </c>
      <c r="AC11" s="100">
        <v>53.72</v>
      </c>
      <c r="AD11" s="2">
        <f t="shared" si="0"/>
        <v>0.67000000000000171</v>
      </c>
      <c r="AE11" s="138">
        <f t="shared" si="1"/>
        <v>2.051855997015517E-3</v>
      </c>
    </row>
    <row r="12" spans="1:31" x14ac:dyDescent="0.25">
      <c r="W12" s="99">
        <v>42740</v>
      </c>
      <c r="X12" s="103">
        <v>53.9</v>
      </c>
      <c r="Y12" s="103">
        <v>54.26</v>
      </c>
      <c r="Z12" s="103">
        <v>53.33</v>
      </c>
      <c r="AA12" s="103">
        <v>53.61</v>
      </c>
      <c r="AB12" s="101">
        <v>2081100</v>
      </c>
      <c r="AC12" s="100">
        <v>53.61</v>
      </c>
      <c r="AD12" s="2">
        <f t="shared" si="0"/>
        <v>0.92999999999999972</v>
      </c>
      <c r="AE12" s="138">
        <f t="shared" si="1"/>
        <v>-8.1406105457908495E-3</v>
      </c>
    </row>
    <row r="13" spans="1:31" x14ac:dyDescent="0.25">
      <c r="W13" s="99">
        <v>42739</v>
      </c>
      <c r="X13" s="103">
        <v>53.64</v>
      </c>
      <c r="Y13" s="103">
        <v>54.17</v>
      </c>
      <c r="Z13" s="103">
        <v>53.5</v>
      </c>
      <c r="AA13" s="103">
        <v>54.05</v>
      </c>
      <c r="AB13" s="101">
        <v>2327500</v>
      </c>
      <c r="AC13" s="100">
        <v>54.05</v>
      </c>
      <c r="AD13" s="2">
        <f t="shared" si="0"/>
        <v>0.67000000000000171</v>
      </c>
      <c r="AE13" s="138">
        <f t="shared" si="1"/>
        <v>1.2361865517887205E-2</v>
      </c>
    </row>
    <row r="14" spans="1:31" x14ac:dyDescent="0.25">
      <c r="W14" s="99">
        <v>42738</v>
      </c>
      <c r="X14" s="103">
        <v>53.11</v>
      </c>
      <c r="Y14" s="103">
        <v>53.85</v>
      </c>
      <c r="Z14" s="103">
        <v>52.96</v>
      </c>
      <c r="AA14" s="103">
        <v>53.39</v>
      </c>
      <c r="AB14" s="101">
        <v>1927000</v>
      </c>
      <c r="AC14" s="100">
        <v>53.39</v>
      </c>
      <c r="AD14" s="2">
        <f t="shared" si="0"/>
        <v>0.89000000000000057</v>
      </c>
      <c r="AE14" s="138">
        <f t="shared" si="1"/>
        <v>6.2193742932528107E-3</v>
      </c>
    </row>
    <row r="15" spans="1:31" x14ac:dyDescent="0.25">
      <c r="W15" s="99">
        <v>42734</v>
      </c>
      <c r="X15" s="103">
        <v>53.44</v>
      </c>
      <c r="Y15" s="103">
        <v>53.5</v>
      </c>
      <c r="Z15" s="103">
        <v>52.67</v>
      </c>
      <c r="AA15" s="103">
        <v>53.06</v>
      </c>
      <c r="AB15" s="101">
        <v>2000400</v>
      </c>
      <c r="AC15" s="100">
        <v>53.06</v>
      </c>
      <c r="AD15" s="2">
        <f t="shared" si="0"/>
        <v>0.82999999999999829</v>
      </c>
      <c r="AE15" s="138">
        <f t="shared" si="1"/>
        <v>-5.8085066516768702E-3</v>
      </c>
    </row>
    <row r="16" spans="1:31" x14ac:dyDescent="0.25">
      <c r="W16" s="99">
        <v>42733</v>
      </c>
      <c r="X16" s="103">
        <v>53.29</v>
      </c>
      <c r="Y16" s="103">
        <v>53.65</v>
      </c>
      <c r="Z16" s="103">
        <v>53.12</v>
      </c>
      <c r="AA16" s="103">
        <v>53.37</v>
      </c>
      <c r="AB16" s="101">
        <v>1380600</v>
      </c>
      <c r="AC16" s="100">
        <v>53.37</v>
      </c>
      <c r="AD16" s="2">
        <f t="shared" si="0"/>
        <v>0.53000000000000114</v>
      </c>
      <c r="AE16" s="138">
        <f t="shared" si="1"/>
        <v>-1.873360809292457E-4</v>
      </c>
    </row>
    <row r="17" spans="1:31" x14ac:dyDescent="0.25">
      <c r="W17" s="99">
        <v>42732</v>
      </c>
      <c r="X17" s="103">
        <v>54.6</v>
      </c>
      <c r="Y17" s="103">
        <v>54.68</v>
      </c>
      <c r="Z17" s="103">
        <v>53.21</v>
      </c>
      <c r="AA17" s="103">
        <v>53.38</v>
      </c>
      <c r="AB17" s="101">
        <v>2884400</v>
      </c>
      <c r="AC17" s="100">
        <v>53.38</v>
      </c>
      <c r="AD17" s="2">
        <f t="shared" si="0"/>
        <v>1.4699999999999989</v>
      </c>
      <c r="AE17" s="138">
        <f t="shared" si="1"/>
        <v>-1.6580692704495137E-2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42731</v>
      </c>
      <c r="X18" s="103">
        <v>54.25</v>
      </c>
      <c r="Y18" s="103">
        <v>54.45</v>
      </c>
      <c r="Z18" s="103">
        <v>54.18</v>
      </c>
      <c r="AA18" s="103">
        <v>54.28</v>
      </c>
      <c r="AB18" s="101">
        <v>1534700</v>
      </c>
      <c r="AC18" s="100">
        <v>54.28</v>
      </c>
      <c r="AD18" s="2">
        <f t="shared" si="0"/>
        <v>0.27000000000000313</v>
      </c>
      <c r="AE18" s="138">
        <f t="shared" si="1"/>
        <v>4.6270590412733625E-3</v>
      </c>
    </row>
    <row r="19" spans="1:31" x14ac:dyDescent="0.25">
      <c r="W19" s="99">
        <v>42727</v>
      </c>
      <c r="X19" s="103">
        <v>53.74</v>
      </c>
      <c r="Y19" s="103">
        <v>54.06</v>
      </c>
      <c r="Z19" s="103">
        <v>53.65</v>
      </c>
      <c r="AA19" s="103">
        <v>54.03</v>
      </c>
      <c r="AB19" s="101">
        <v>1211900</v>
      </c>
      <c r="AC19" s="100">
        <v>54.03</v>
      </c>
      <c r="AD19" s="2">
        <f t="shared" si="0"/>
        <v>0.41000000000000369</v>
      </c>
      <c r="AE19" s="138">
        <f t="shared" si="1"/>
        <v>4.4617958728387919E-3</v>
      </c>
    </row>
    <row r="20" spans="1:31" x14ac:dyDescent="0.25">
      <c r="W20" s="99">
        <v>42726</v>
      </c>
      <c r="X20" s="103">
        <v>53.95</v>
      </c>
      <c r="Y20" s="103">
        <v>54.09</v>
      </c>
      <c r="Z20" s="103">
        <v>53.42</v>
      </c>
      <c r="AA20" s="103">
        <v>53.79</v>
      </c>
      <c r="AB20" s="101">
        <v>2422600</v>
      </c>
      <c r="AC20" s="100">
        <v>53.79</v>
      </c>
      <c r="AD20" s="2">
        <f t="shared" si="0"/>
        <v>0.67000000000000171</v>
      </c>
      <c r="AE20" s="138">
        <f t="shared" si="1"/>
        <v>-2.9657089898054156E-3</v>
      </c>
    </row>
    <row r="21" spans="1:31" x14ac:dyDescent="0.25">
      <c r="W21" s="99">
        <v>42725</v>
      </c>
      <c r="X21" s="103">
        <v>54</v>
      </c>
      <c r="Y21" s="103">
        <v>54.31</v>
      </c>
      <c r="Z21" s="103">
        <v>53.81</v>
      </c>
      <c r="AA21" s="103">
        <v>53.95</v>
      </c>
      <c r="AB21" s="101">
        <v>1991200</v>
      </c>
      <c r="AC21" s="100">
        <v>53.95</v>
      </c>
      <c r="AD21" s="2">
        <f t="shared" si="0"/>
        <v>0.5</v>
      </c>
      <c r="AE21" s="138">
        <f t="shared" si="1"/>
        <v>-7.4087794035926358E-4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42724</v>
      </c>
      <c r="X22" s="103">
        <v>53.75</v>
      </c>
      <c r="Y22" s="103">
        <v>54.15</v>
      </c>
      <c r="Z22" s="103">
        <v>53.68</v>
      </c>
      <c r="AA22" s="103">
        <v>53.99</v>
      </c>
      <c r="AB22" s="101">
        <v>1845300</v>
      </c>
      <c r="AC22" s="100">
        <v>53.99</v>
      </c>
      <c r="AD22" s="2">
        <f t="shared" si="0"/>
        <v>0.46999999999999886</v>
      </c>
      <c r="AE22" s="138">
        <f t="shared" si="1"/>
        <v>5.7749627421759264E-3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42723</v>
      </c>
      <c r="X23" s="103">
        <v>53.51</v>
      </c>
      <c r="Y23" s="103">
        <v>53.79</v>
      </c>
      <c r="Z23" s="103">
        <v>53.41</v>
      </c>
      <c r="AA23" s="103">
        <v>53.68</v>
      </c>
      <c r="AB23" s="101">
        <v>2783800</v>
      </c>
      <c r="AC23" s="100">
        <v>53.68</v>
      </c>
      <c r="AD23" s="2">
        <f t="shared" si="0"/>
        <v>0.38000000000000256</v>
      </c>
      <c r="AE23" s="138">
        <f t="shared" si="1"/>
        <v>-1.3023255813953138E-3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42720</v>
      </c>
      <c r="X24" s="103">
        <v>53.64</v>
      </c>
      <c r="Y24" s="103">
        <v>54.11</v>
      </c>
      <c r="Z24" s="103">
        <v>53.51</v>
      </c>
      <c r="AA24" s="103">
        <v>53.75</v>
      </c>
      <c r="AB24" s="101">
        <v>4413200</v>
      </c>
      <c r="AC24" s="100">
        <v>53.75</v>
      </c>
      <c r="AD24" s="2">
        <f t="shared" si="0"/>
        <v>0.60000000000000142</v>
      </c>
      <c r="AE24" s="138">
        <f t="shared" si="1"/>
        <v>2.7985074626866169E-3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42719</v>
      </c>
      <c r="X25" s="103">
        <v>53.09</v>
      </c>
      <c r="Y25" s="103">
        <v>53.98</v>
      </c>
      <c r="Z25" s="103">
        <v>52.94</v>
      </c>
      <c r="AA25" s="103">
        <v>53.6</v>
      </c>
      <c r="AB25" s="101">
        <v>3092800</v>
      </c>
      <c r="AC25" s="100">
        <v>53.6</v>
      </c>
      <c r="AD25" s="2">
        <f t="shared" si="0"/>
        <v>1.0399999999999991</v>
      </c>
      <c r="AE25" s="138">
        <f t="shared" si="1"/>
        <v>1.2849584278155746E-2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42718</v>
      </c>
      <c r="X26" s="103">
        <v>53.38</v>
      </c>
      <c r="Y26" s="103">
        <v>53.75</v>
      </c>
      <c r="Z26" s="103">
        <v>52.82</v>
      </c>
      <c r="AA26" s="103">
        <v>52.92</v>
      </c>
      <c r="AB26" s="101">
        <v>3179900</v>
      </c>
      <c r="AC26" s="100">
        <v>52.92</v>
      </c>
      <c r="AD26" s="2">
        <f t="shared" si="0"/>
        <v>0.92999999999999972</v>
      </c>
      <c r="AE26" s="138">
        <f t="shared" si="1"/>
        <v>-6.943141302308109E-3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42717</v>
      </c>
      <c r="X27" s="103">
        <v>53.49</v>
      </c>
      <c r="Y27" s="103">
        <v>53.83</v>
      </c>
      <c r="Z27" s="103">
        <v>52.83</v>
      </c>
      <c r="AA27" s="103">
        <v>53.29</v>
      </c>
      <c r="AB27" s="101">
        <v>2469700</v>
      </c>
      <c r="AC27" s="100">
        <v>53.29</v>
      </c>
      <c r="AD27" s="2">
        <f t="shared" si="0"/>
        <v>1</v>
      </c>
      <c r="AE27" s="138">
        <f t="shared" si="1"/>
        <v>-5.7835820895523193E-3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42716</v>
      </c>
      <c r="X28" s="103">
        <v>53.9</v>
      </c>
      <c r="Y28" s="103">
        <v>54.34</v>
      </c>
      <c r="Z28" s="103">
        <v>53.55</v>
      </c>
      <c r="AA28" s="103">
        <v>53.6</v>
      </c>
      <c r="AB28" s="101">
        <v>2611800</v>
      </c>
      <c r="AC28" s="100">
        <v>53.6</v>
      </c>
      <c r="AD28" s="2">
        <f t="shared" si="0"/>
        <v>0.79000000000000625</v>
      </c>
      <c r="AE28" s="138">
        <f t="shared" si="1"/>
        <v>-4.2727103845439096E-3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42713</v>
      </c>
      <c r="X29" s="103">
        <v>53.54</v>
      </c>
      <c r="Y29" s="103">
        <v>54.12</v>
      </c>
      <c r="Z29" s="103">
        <v>53.39</v>
      </c>
      <c r="AA29" s="103">
        <v>53.83</v>
      </c>
      <c r="AB29" s="101">
        <v>2826600</v>
      </c>
      <c r="AC29" s="100">
        <v>53.83</v>
      </c>
      <c r="AD29" s="2">
        <f t="shared" si="0"/>
        <v>0.72999999999999687</v>
      </c>
      <c r="AE29" s="138">
        <f t="shared" si="1"/>
        <v>3.1680954155794971E-3</v>
      </c>
    </row>
    <row r="30" spans="1:31" x14ac:dyDescent="0.25">
      <c r="L30" t="s">
        <v>214</v>
      </c>
      <c r="M30" s="2">
        <f>M37+K37-F37</f>
        <v>119.92000000000053</v>
      </c>
      <c r="W30" s="99">
        <v>42712</v>
      </c>
      <c r="X30" s="103">
        <v>53.45</v>
      </c>
      <c r="Y30" s="103">
        <v>54.07</v>
      </c>
      <c r="Z30" s="103">
        <v>53.11</v>
      </c>
      <c r="AA30" s="103">
        <v>53.66</v>
      </c>
      <c r="AB30" s="101">
        <v>2482600</v>
      </c>
      <c r="AC30" s="100">
        <v>53.66</v>
      </c>
      <c r="AD30" s="2">
        <f t="shared" si="0"/>
        <v>0.96000000000000085</v>
      </c>
      <c r="AE30" s="138">
        <f t="shared" si="1"/>
        <v>6.7542213883677871E-3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42711</v>
      </c>
      <c r="X31" s="103">
        <v>51.87</v>
      </c>
      <c r="Y31" s="103">
        <v>53.34</v>
      </c>
      <c r="Z31" s="103">
        <v>51.87</v>
      </c>
      <c r="AA31" s="103">
        <v>53.3</v>
      </c>
      <c r="AB31" s="101">
        <v>3470600</v>
      </c>
      <c r="AC31" s="100">
        <v>53.3</v>
      </c>
      <c r="AD31" s="2">
        <f t="shared" si="0"/>
        <v>1.470000000000006</v>
      </c>
      <c r="AE31" s="138">
        <f t="shared" si="1"/>
        <v>2.9553795634537305E-2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42710</v>
      </c>
      <c r="X32" s="103">
        <v>51.25</v>
      </c>
      <c r="Y32" s="103">
        <v>51.8</v>
      </c>
      <c r="Z32" s="103">
        <v>51</v>
      </c>
      <c r="AA32" s="103">
        <v>51.77</v>
      </c>
      <c r="AB32" s="101">
        <v>2424500</v>
      </c>
      <c r="AC32" s="100">
        <v>51.77</v>
      </c>
      <c r="AD32" s="2">
        <f t="shared" si="0"/>
        <v>0.79999999999999716</v>
      </c>
      <c r="AE32" s="138">
        <f t="shared" si="1"/>
        <v>7.002528690916332E-3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42709</v>
      </c>
      <c r="X33" s="103">
        <v>50.96</v>
      </c>
      <c r="Y33" s="103">
        <v>51.46</v>
      </c>
      <c r="Z33" s="103">
        <v>50.75</v>
      </c>
      <c r="AA33" s="103">
        <v>51.41</v>
      </c>
      <c r="AB33" s="101">
        <v>3789000</v>
      </c>
      <c r="AC33" s="100">
        <v>51.41</v>
      </c>
      <c r="AD33" s="2">
        <f t="shared" si="0"/>
        <v>0.71000000000000085</v>
      </c>
      <c r="AE33" s="138">
        <f t="shared" si="1"/>
        <v>1.8826793499801653E-2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42706</v>
      </c>
      <c r="X34" s="103">
        <v>49.74</v>
      </c>
      <c r="Y34" s="103">
        <v>50.47</v>
      </c>
      <c r="Z34" s="103">
        <v>49.37</v>
      </c>
      <c r="AA34" s="103">
        <v>50.46</v>
      </c>
      <c r="AB34" s="101">
        <v>3453200</v>
      </c>
      <c r="AC34" s="100">
        <v>50.46</v>
      </c>
      <c r="AD34" s="2">
        <f t="shared" si="0"/>
        <v>1.1000000000000014</v>
      </c>
      <c r="AE34" s="138">
        <f t="shared" si="1"/>
        <v>1.467926804745634E-2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42705</v>
      </c>
      <c r="X35" s="103">
        <v>48.94</v>
      </c>
      <c r="Y35" s="103">
        <v>49.75</v>
      </c>
      <c r="Z35" s="103">
        <v>48.9</v>
      </c>
      <c r="AA35" s="103">
        <v>49.73</v>
      </c>
      <c r="AB35" s="101">
        <v>3492500</v>
      </c>
      <c r="AC35" s="100">
        <v>49.73</v>
      </c>
      <c r="AD35" s="2">
        <f t="shared" si="0"/>
        <v>0.85000000000000142</v>
      </c>
      <c r="AE35" s="138">
        <f t="shared" si="1"/>
        <v>2.0730706075533512E-2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42704</v>
      </c>
      <c r="X36" s="103">
        <v>48.96</v>
      </c>
      <c r="Y36" s="103">
        <v>48.96</v>
      </c>
      <c r="Z36" s="103">
        <v>48.49</v>
      </c>
      <c r="AA36" s="103">
        <v>48.72</v>
      </c>
      <c r="AB36" s="101">
        <v>2483500</v>
      </c>
      <c r="AC36" s="100">
        <v>48.72</v>
      </c>
      <c r="AD36" s="2">
        <f t="shared" si="0"/>
        <v>0.46999999999999886</v>
      </c>
      <c r="AE36" s="138">
        <f t="shared" si="1"/>
        <v>-2.4570024570025328E-3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42703</v>
      </c>
      <c r="X37" s="103">
        <v>48.73</v>
      </c>
      <c r="Y37" s="103">
        <v>49.1</v>
      </c>
      <c r="Z37" s="103">
        <v>48.63</v>
      </c>
      <c r="AA37" s="103">
        <v>48.84</v>
      </c>
      <c r="AB37" s="101">
        <v>2075200</v>
      </c>
      <c r="AC37" s="100">
        <v>48.84</v>
      </c>
      <c r="AD37" s="2">
        <f t="shared" si="0"/>
        <v>0.46999999999999886</v>
      </c>
      <c r="AE37" s="138">
        <f t="shared" si="1"/>
        <v>3.0807147258165024E-3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42702</v>
      </c>
      <c r="X38" s="103">
        <v>48.66</v>
      </c>
      <c r="Y38" s="103">
        <v>48.94</v>
      </c>
      <c r="Z38" s="103">
        <v>48.51</v>
      </c>
      <c r="AA38" s="103">
        <v>48.69</v>
      </c>
      <c r="AB38" s="101">
        <v>1885700</v>
      </c>
      <c r="AC38" s="100">
        <v>48.69</v>
      </c>
      <c r="AD38" s="2">
        <f t="shared" si="0"/>
        <v>0.42999999999999972</v>
      </c>
      <c r="AE38" s="138">
        <f t="shared" si="1"/>
        <v>-3.2753326509724623E-3</v>
      </c>
    </row>
    <row r="39" spans="1:31" x14ac:dyDescent="0.25">
      <c r="W39" s="99">
        <v>42699</v>
      </c>
      <c r="X39" s="103">
        <v>48.8</v>
      </c>
      <c r="Y39" s="103">
        <v>48.89</v>
      </c>
      <c r="Z39" s="103">
        <v>48.55</v>
      </c>
      <c r="AA39" s="103">
        <v>48.85</v>
      </c>
      <c r="AB39" s="101">
        <v>814400</v>
      </c>
      <c r="AC39" s="100">
        <v>48.85</v>
      </c>
      <c r="AD39" s="2">
        <f t="shared" si="0"/>
        <v>0.34000000000000341</v>
      </c>
      <c r="AE39" s="138">
        <f t="shared" si="1"/>
        <v>2.6683087027914443E-3</v>
      </c>
    </row>
    <row r="40" spans="1:31" ht="20.25" thickBot="1" x14ac:dyDescent="0.35">
      <c r="O40" s="632" t="s">
        <v>78</v>
      </c>
      <c r="P40" s="632"/>
      <c r="W40" s="99">
        <v>42697</v>
      </c>
      <c r="X40" s="103">
        <v>48.59</v>
      </c>
      <c r="Y40" s="103">
        <v>48.96</v>
      </c>
      <c r="Z40" s="103">
        <v>48.54</v>
      </c>
      <c r="AA40" s="103">
        <v>48.72</v>
      </c>
      <c r="AB40" s="101">
        <v>1635600</v>
      </c>
      <c r="AC40" s="100">
        <v>48.72</v>
      </c>
      <c r="AD40" s="2">
        <f t="shared" si="0"/>
        <v>0.42000000000000171</v>
      </c>
      <c r="AE40" s="138">
        <f t="shared" si="1"/>
        <v>2.8818443804035088E-3</v>
      </c>
    </row>
    <row r="41" spans="1:31" ht="15.75" thickTop="1" x14ac:dyDescent="0.25">
      <c r="O41" s="83">
        <v>1.1000000000000001</v>
      </c>
      <c r="P41" s="83">
        <f>O41*$Q$4</f>
        <v>59.059000000000005</v>
      </c>
      <c r="Q41" s="2"/>
      <c r="W41" s="99">
        <v>42696</v>
      </c>
      <c r="X41" s="103">
        <v>48.54</v>
      </c>
      <c r="Y41" s="103">
        <v>48.84</v>
      </c>
      <c r="Z41" s="103">
        <v>48.33</v>
      </c>
      <c r="AA41" s="103">
        <v>48.58</v>
      </c>
      <c r="AB41" s="101">
        <v>2552000</v>
      </c>
      <c r="AC41" s="100">
        <v>48.58</v>
      </c>
      <c r="AD41" s="2">
        <f t="shared" si="0"/>
        <v>0.51000000000000512</v>
      </c>
      <c r="AE41" s="138">
        <f t="shared" si="1"/>
        <v>5.5889049886150843E-3</v>
      </c>
    </row>
    <row r="42" spans="1:31" ht="20.25" thickBot="1" x14ac:dyDescent="0.35">
      <c r="O42" s="83">
        <v>1.0900000000000001</v>
      </c>
      <c r="P42" s="83">
        <f t="shared" ref="P42:P61" si="2">O42*$Q$4</f>
        <v>58.522100000000002</v>
      </c>
      <c r="Q42" s="2"/>
      <c r="T42" s="91" t="s">
        <v>113</v>
      </c>
      <c r="W42" s="99">
        <v>42695</v>
      </c>
      <c r="X42" s="103">
        <v>47.98</v>
      </c>
      <c r="Y42" s="103">
        <v>48.42</v>
      </c>
      <c r="Z42" s="103">
        <v>47.85</v>
      </c>
      <c r="AA42" s="103">
        <v>48.31</v>
      </c>
      <c r="AB42" s="101">
        <v>2373600</v>
      </c>
      <c r="AC42" s="100">
        <v>48.31</v>
      </c>
      <c r="AD42" s="2">
        <f t="shared" si="0"/>
        <v>0.57000000000000028</v>
      </c>
      <c r="AE42" s="138">
        <f t="shared" si="1"/>
        <v>-2.8895768833849811E-3</v>
      </c>
    </row>
    <row r="43" spans="1:31" ht="15.75" thickTop="1" x14ac:dyDescent="0.25">
      <c r="O43" s="83">
        <v>1.08</v>
      </c>
      <c r="P43" s="83">
        <f t="shared" si="2"/>
        <v>57.985199999999999</v>
      </c>
      <c r="Q43" s="2"/>
      <c r="T43" s="97" t="s">
        <v>98</v>
      </c>
      <c r="U43" s="98">
        <v>52.68</v>
      </c>
      <c r="W43" s="99">
        <v>42692</v>
      </c>
      <c r="X43" s="103">
        <v>48.28</v>
      </c>
      <c r="Y43" s="103">
        <v>48.52</v>
      </c>
      <c r="Z43" s="103">
        <v>48.02</v>
      </c>
      <c r="AA43" s="103">
        <v>48.45</v>
      </c>
      <c r="AB43" s="101">
        <v>2302500</v>
      </c>
      <c r="AC43" s="100">
        <v>48.45</v>
      </c>
      <c r="AD43" s="2">
        <f t="shared" si="0"/>
        <v>0.5</v>
      </c>
      <c r="AE43" s="138">
        <f t="shared" si="1"/>
        <v>2.6903973509935231E-3</v>
      </c>
    </row>
    <row r="44" spans="1:31" x14ac:dyDescent="0.25">
      <c r="O44" s="83">
        <v>1.07</v>
      </c>
      <c r="P44" s="83">
        <f t="shared" si="2"/>
        <v>57.448300000000003</v>
      </c>
      <c r="Q44" s="2"/>
      <c r="T44" s="87" t="s">
        <v>99</v>
      </c>
      <c r="U44" s="88">
        <v>53.75</v>
      </c>
      <c r="W44" s="99">
        <v>42691</v>
      </c>
      <c r="X44" s="103">
        <v>48.04</v>
      </c>
      <c r="Y44" s="103">
        <v>49.07</v>
      </c>
      <c r="Z44" s="103">
        <v>47.72</v>
      </c>
      <c r="AA44" s="103">
        <v>48.32</v>
      </c>
      <c r="AB44" s="101">
        <v>3449100</v>
      </c>
      <c r="AC44" s="100">
        <v>48.32</v>
      </c>
      <c r="AD44" s="2">
        <f t="shared" si="0"/>
        <v>1.3500000000000014</v>
      </c>
      <c r="AE44" s="138">
        <f t="shared" si="1"/>
        <v>7.9265748852732631E-3</v>
      </c>
    </row>
    <row r="45" spans="1:31" x14ac:dyDescent="0.25">
      <c r="O45" s="83">
        <v>1.06</v>
      </c>
      <c r="P45" s="83">
        <f t="shared" si="2"/>
        <v>56.9114</v>
      </c>
      <c r="Q45" s="2"/>
      <c r="T45" s="87" t="s">
        <v>100</v>
      </c>
      <c r="U45" s="88" t="s">
        <v>129</v>
      </c>
      <c r="W45" s="99">
        <v>42690</v>
      </c>
      <c r="X45" s="103">
        <v>48.1</v>
      </c>
      <c r="Y45" s="103">
        <v>49.08</v>
      </c>
      <c r="Z45" s="103">
        <v>47.81</v>
      </c>
      <c r="AA45" s="103">
        <v>47.94</v>
      </c>
      <c r="AB45" s="101">
        <v>4935300</v>
      </c>
      <c r="AC45" s="100">
        <v>47.94</v>
      </c>
      <c r="AD45" s="2">
        <f t="shared" si="0"/>
        <v>1.269999999999996</v>
      </c>
      <c r="AE45" s="138">
        <f t="shared" si="1"/>
        <v>3.9790575916229809E-3</v>
      </c>
    </row>
    <row r="46" spans="1:31" x14ac:dyDescent="0.25">
      <c r="O46" s="83">
        <v>1.05</v>
      </c>
      <c r="P46" s="83">
        <f t="shared" si="2"/>
        <v>56.374499999999998</v>
      </c>
      <c r="Q46" s="2"/>
      <c r="T46" s="87" t="s">
        <v>101</v>
      </c>
      <c r="U46" s="88" t="s">
        <v>129</v>
      </c>
      <c r="W46" s="99">
        <v>42689</v>
      </c>
      <c r="X46" s="103">
        <v>47.2</v>
      </c>
      <c r="Y46" s="103">
        <v>47.8</v>
      </c>
      <c r="Z46" s="103">
        <v>46.52</v>
      </c>
      <c r="AA46" s="103">
        <v>47.75</v>
      </c>
      <c r="AB46" s="101">
        <v>3831800</v>
      </c>
      <c r="AC46" s="100">
        <v>47.75</v>
      </c>
      <c r="AD46" s="2">
        <f t="shared" si="0"/>
        <v>1.279999999999994</v>
      </c>
      <c r="AE46" s="138">
        <f t="shared" si="1"/>
        <v>1.1438254607074816E-2</v>
      </c>
    </row>
    <row r="47" spans="1:31" x14ac:dyDescent="0.25">
      <c r="O47" s="83">
        <v>1.04</v>
      </c>
      <c r="P47" s="83">
        <f t="shared" si="2"/>
        <v>55.837600000000002</v>
      </c>
      <c r="Q47" s="2"/>
      <c r="T47" s="87" t="s">
        <v>102</v>
      </c>
      <c r="U47" s="88">
        <v>53.67</v>
      </c>
      <c r="W47" s="99">
        <v>42688</v>
      </c>
      <c r="X47" s="103">
        <v>45.95</v>
      </c>
      <c r="Y47" s="103">
        <v>47.28</v>
      </c>
      <c r="Z47" s="103">
        <v>45.94</v>
      </c>
      <c r="AA47" s="103">
        <v>47.21</v>
      </c>
      <c r="AB47" s="101">
        <v>3604700</v>
      </c>
      <c r="AC47" s="100">
        <v>47.21</v>
      </c>
      <c r="AD47" s="2">
        <f t="shared" si="0"/>
        <v>1.3400000000000034</v>
      </c>
      <c r="AE47" s="138">
        <f t="shared" si="1"/>
        <v>3.3946561541831066E-2</v>
      </c>
    </row>
    <row r="48" spans="1:31" x14ac:dyDescent="0.25">
      <c r="O48" s="83">
        <v>1.03</v>
      </c>
      <c r="P48" s="83">
        <f t="shared" si="2"/>
        <v>55.300699999999999</v>
      </c>
      <c r="Q48" s="2"/>
      <c r="T48" s="87" t="s">
        <v>103</v>
      </c>
      <c r="U48" s="88">
        <v>1.73899</v>
      </c>
      <c r="W48" s="99">
        <v>42685</v>
      </c>
      <c r="X48" s="103">
        <v>45.72</v>
      </c>
      <c r="Y48" s="103">
        <v>45.99</v>
      </c>
      <c r="Z48" s="103">
        <v>45.19</v>
      </c>
      <c r="AA48" s="103">
        <v>45.66</v>
      </c>
      <c r="AB48" s="101">
        <v>2100000</v>
      </c>
      <c r="AC48" s="100">
        <v>45.66</v>
      </c>
      <c r="AD48" s="2">
        <f t="shared" si="0"/>
        <v>0.80000000000000426</v>
      </c>
      <c r="AE48" s="138">
        <f t="shared" si="1"/>
        <v>-3.2743942370662138E-3</v>
      </c>
    </row>
    <row r="49" spans="15:31" x14ac:dyDescent="0.25">
      <c r="O49" s="83">
        <v>1.02</v>
      </c>
      <c r="P49" s="83">
        <f t="shared" si="2"/>
        <v>54.763799999999996</v>
      </c>
      <c r="Q49" s="2"/>
      <c r="T49" s="87" t="s">
        <v>104</v>
      </c>
      <c r="U49" s="89" t="s">
        <v>383</v>
      </c>
      <c r="W49" s="99">
        <v>42684</v>
      </c>
      <c r="X49" s="103">
        <v>45.42</v>
      </c>
      <c r="Y49" s="103">
        <v>46.29</v>
      </c>
      <c r="Z49" s="103">
        <v>45.36</v>
      </c>
      <c r="AA49" s="103">
        <v>45.81</v>
      </c>
      <c r="AB49" s="101">
        <v>3842900</v>
      </c>
      <c r="AC49" s="100">
        <v>45.81</v>
      </c>
      <c r="AD49" s="2">
        <f t="shared" si="0"/>
        <v>0.92999999999999972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54.226900000000001</v>
      </c>
      <c r="Q50" s="2"/>
      <c r="T50" s="87"/>
      <c r="U50" s="88"/>
      <c r="W50" s="99">
        <v>42684</v>
      </c>
      <c r="X50" s="103" t="s">
        <v>341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53.69</v>
      </c>
      <c r="Q51" s="2"/>
      <c r="T51" s="87" t="s">
        <v>105</v>
      </c>
      <c r="U51" s="88" t="s">
        <v>527</v>
      </c>
      <c r="W51" s="99">
        <v>42683</v>
      </c>
      <c r="X51" s="103">
        <v>43.98</v>
      </c>
      <c r="Y51" s="103">
        <v>45.9</v>
      </c>
      <c r="Z51" s="103">
        <v>43.76</v>
      </c>
      <c r="AA51" s="103">
        <v>45.65</v>
      </c>
      <c r="AB51" s="101">
        <v>3703800</v>
      </c>
      <c r="AC51" s="100">
        <v>45.19</v>
      </c>
      <c r="AD51" s="2">
        <f t="shared" si="0"/>
        <v>2.1400000000000006</v>
      </c>
      <c r="AE51" s="138">
        <f t="shared" si="1"/>
        <v>2.0090293453724595E-2</v>
      </c>
    </row>
    <row r="52" spans="15:31" x14ac:dyDescent="0.25">
      <c r="O52" s="83">
        <v>0.99</v>
      </c>
      <c r="P52" s="83">
        <f t="shared" si="2"/>
        <v>53.153099999999995</v>
      </c>
      <c r="Q52" s="2"/>
      <c r="T52" s="87" t="s">
        <v>106</v>
      </c>
      <c r="U52" s="88" t="s">
        <v>401</v>
      </c>
      <c r="W52" s="99">
        <v>42682</v>
      </c>
      <c r="X52" s="103">
        <v>44.36</v>
      </c>
      <c r="Y52" s="103">
        <v>44.83</v>
      </c>
      <c r="Z52" s="103">
        <v>44.03</v>
      </c>
      <c r="AA52" s="103">
        <v>44.75</v>
      </c>
      <c r="AB52" s="101">
        <v>2283500</v>
      </c>
      <c r="AC52" s="100">
        <v>44.3</v>
      </c>
      <c r="AD52" s="2">
        <f t="shared" si="0"/>
        <v>0.79999999999999716</v>
      </c>
      <c r="AE52" s="138">
        <f t="shared" si="1"/>
        <v>6.36074511585627E-3</v>
      </c>
    </row>
    <row r="53" spans="15:31" x14ac:dyDescent="0.25">
      <c r="O53" s="83">
        <v>0.98</v>
      </c>
      <c r="P53" s="83">
        <f t="shared" si="2"/>
        <v>52.616199999999999</v>
      </c>
      <c r="Q53" s="2"/>
      <c r="T53" s="87" t="s">
        <v>107</v>
      </c>
      <c r="U53" s="90">
        <v>3085267</v>
      </c>
      <c r="W53" s="99">
        <v>42681</v>
      </c>
      <c r="X53" s="103">
        <v>44.55</v>
      </c>
      <c r="Y53" s="103">
        <v>44.97</v>
      </c>
      <c r="Z53" s="103">
        <v>44</v>
      </c>
      <c r="AA53" s="103">
        <v>44.47</v>
      </c>
      <c r="AB53" s="101">
        <v>3036300</v>
      </c>
      <c r="AC53" s="100">
        <v>44.02</v>
      </c>
      <c r="AD53" s="2">
        <f t="shared" si="0"/>
        <v>0.96999999999999886</v>
      </c>
      <c r="AE53" s="138">
        <f t="shared" si="1"/>
        <v>1.1256604640477841E-2</v>
      </c>
    </row>
    <row r="54" spans="15:31" x14ac:dyDescent="0.25">
      <c r="O54" s="83">
        <v>0.97</v>
      </c>
      <c r="P54" s="83">
        <f t="shared" si="2"/>
        <v>52.079299999999996</v>
      </c>
      <c r="T54" s="87" t="s">
        <v>110</v>
      </c>
      <c r="U54" s="90">
        <v>2607540</v>
      </c>
      <c r="W54" s="99">
        <v>42678</v>
      </c>
      <c r="X54" s="103">
        <v>43.73</v>
      </c>
      <c r="Y54" s="103">
        <v>44.47</v>
      </c>
      <c r="Z54" s="103">
        <v>43.62</v>
      </c>
      <c r="AA54" s="103">
        <v>43.98</v>
      </c>
      <c r="AB54" s="101">
        <v>2268300</v>
      </c>
      <c r="AC54" s="100">
        <v>43.53</v>
      </c>
      <c r="AD54" s="2">
        <f t="shared" si="0"/>
        <v>0.85000000000000142</v>
      </c>
      <c r="AE54" s="138">
        <f t="shared" si="1"/>
        <v>8.5727525486563039E-3</v>
      </c>
    </row>
    <row r="55" spans="15:31" x14ac:dyDescent="0.25">
      <c r="O55" s="83">
        <v>0.96</v>
      </c>
      <c r="P55" s="83">
        <f t="shared" si="2"/>
        <v>51.542399999999994</v>
      </c>
      <c r="T55" s="87" t="s">
        <v>108</v>
      </c>
      <c r="U55" s="88" t="s">
        <v>528</v>
      </c>
      <c r="W55" s="99">
        <v>42677</v>
      </c>
      <c r="X55" s="103">
        <v>44.26</v>
      </c>
      <c r="Y55" s="103">
        <v>44.42</v>
      </c>
      <c r="Z55" s="103">
        <v>43.55</v>
      </c>
      <c r="AA55" s="103">
        <v>43.6</v>
      </c>
      <c r="AB55" s="101">
        <v>2464500</v>
      </c>
      <c r="AC55" s="100">
        <v>43.16</v>
      </c>
      <c r="AD55" s="2">
        <f t="shared" si="0"/>
        <v>0.87000000000000455</v>
      </c>
      <c r="AE55" s="138">
        <f t="shared" si="1"/>
        <v>-1.3034530070889505E-2</v>
      </c>
    </row>
    <row r="56" spans="15:31" x14ac:dyDescent="0.25">
      <c r="O56" s="83">
        <v>0.95</v>
      </c>
      <c r="P56" s="83">
        <f t="shared" si="2"/>
        <v>51.005499999999998</v>
      </c>
      <c r="T56" s="87" t="s">
        <v>111</v>
      </c>
      <c r="U56" s="88">
        <v>25.86</v>
      </c>
      <c r="W56" s="99">
        <v>42676</v>
      </c>
      <c r="X56" s="103">
        <v>44.06</v>
      </c>
      <c r="Y56" s="103">
        <v>44.45</v>
      </c>
      <c r="Z56" s="103">
        <v>43.9</v>
      </c>
      <c r="AA56" s="103">
        <v>44.18</v>
      </c>
      <c r="AB56" s="101">
        <v>2687300</v>
      </c>
      <c r="AC56" s="100">
        <v>43.73</v>
      </c>
      <c r="AD56" s="2">
        <f t="shared" si="0"/>
        <v>0.55000000000000426</v>
      </c>
      <c r="AE56" s="138">
        <f t="shared" si="1"/>
        <v>-9.1386794608194766E-4</v>
      </c>
    </row>
    <row r="57" spans="15:31" x14ac:dyDescent="0.25">
      <c r="O57" s="83">
        <v>0.94</v>
      </c>
      <c r="P57" s="83">
        <f t="shared" si="2"/>
        <v>50.468599999999995</v>
      </c>
      <c r="T57" s="87" t="s">
        <v>112</v>
      </c>
      <c r="U57" s="88">
        <v>2.08</v>
      </c>
      <c r="W57" s="99">
        <v>42675</v>
      </c>
      <c r="X57" s="103">
        <v>45.15</v>
      </c>
      <c r="Y57" s="103">
        <v>45.22</v>
      </c>
      <c r="Z57" s="103">
        <v>43.76</v>
      </c>
      <c r="AA57" s="103">
        <v>44.22</v>
      </c>
      <c r="AB57" s="101">
        <v>3086100</v>
      </c>
      <c r="AC57" s="100">
        <v>43.77</v>
      </c>
      <c r="AD57" s="2">
        <f t="shared" si="0"/>
        <v>1.4600000000000009</v>
      </c>
      <c r="AE57" s="138">
        <f t="shared" si="1"/>
        <v>-1.7949293246578346E-2</v>
      </c>
    </row>
    <row r="58" spans="15:31" x14ac:dyDescent="0.25">
      <c r="O58" s="83">
        <v>0.93</v>
      </c>
      <c r="P58" s="83">
        <f t="shared" si="2"/>
        <v>49.931699999999999</v>
      </c>
      <c r="T58" s="87" t="s">
        <v>109</v>
      </c>
      <c r="U58" s="88" t="s">
        <v>638</v>
      </c>
      <c r="W58" s="99">
        <v>42674</v>
      </c>
      <c r="X58" s="103">
        <v>44.88</v>
      </c>
      <c r="Y58" s="103">
        <v>45.39</v>
      </c>
      <c r="Z58" s="103">
        <v>44.87</v>
      </c>
      <c r="AA58" s="103">
        <v>45.03</v>
      </c>
      <c r="AB58" s="101">
        <v>2317100</v>
      </c>
      <c r="AC58" s="100">
        <v>44.57</v>
      </c>
      <c r="AD58" s="2">
        <f t="shared" si="0"/>
        <v>0.52000000000000313</v>
      </c>
      <c r="AE58" s="138">
        <f t="shared" si="1"/>
        <v>4.4893378226729119E-4</v>
      </c>
    </row>
    <row r="59" spans="15:31" x14ac:dyDescent="0.25">
      <c r="O59" s="83">
        <v>0.92</v>
      </c>
      <c r="P59" s="83">
        <f t="shared" si="2"/>
        <v>49.394800000000004</v>
      </c>
      <c r="W59" s="99">
        <v>42671</v>
      </c>
      <c r="X59" s="103">
        <v>45.19</v>
      </c>
      <c r="Y59" s="103">
        <v>45.52</v>
      </c>
      <c r="Z59" s="103">
        <v>44.71</v>
      </c>
      <c r="AA59" s="103">
        <v>45.01</v>
      </c>
      <c r="AB59" s="101">
        <v>2374500</v>
      </c>
      <c r="AC59" s="100">
        <v>44.55</v>
      </c>
      <c r="AD59" s="2">
        <f t="shared" si="0"/>
        <v>0.81000000000000227</v>
      </c>
      <c r="AE59" s="138">
        <f t="shared" si="1"/>
        <v>-2.9095792300806167E-3</v>
      </c>
    </row>
    <row r="60" spans="15:31" x14ac:dyDescent="0.25">
      <c r="O60" s="83">
        <v>0.91</v>
      </c>
      <c r="P60" s="83">
        <f t="shared" si="2"/>
        <v>48.857900000000001</v>
      </c>
      <c r="W60" s="99">
        <v>42670</v>
      </c>
      <c r="X60" s="103">
        <v>45.83</v>
      </c>
      <c r="Y60" s="103">
        <v>46</v>
      </c>
      <c r="Z60" s="103">
        <v>44.66</v>
      </c>
      <c r="AA60" s="103">
        <v>45.14</v>
      </c>
      <c r="AB60" s="101">
        <v>4070100</v>
      </c>
      <c r="AC60" s="100">
        <v>44.68</v>
      </c>
      <c r="AD60" s="2">
        <f t="shared" si="0"/>
        <v>1.3400000000000034</v>
      </c>
      <c r="AE60" s="138">
        <f t="shared" si="1"/>
        <v>-2.2105493543444932E-2</v>
      </c>
    </row>
    <row r="61" spans="15:31" x14ac:dyDescent="0.25">
      <c r="O61" s="83">
        <v>0.9</v>
      </c>
      <c r="P61" s="83">
        <f t="shared" si="2"/>
        <v>48.320999999999998</v>
      </c>
      <c r="W61" s="99">
        <v>42669</v>
      </c>
      <c r="X61" s="103">
        <v>46.29</v>
      </c>
      <c r="Y61" s="103">
        <v>46.72</v>
      </c>
      <c r="Z61" s="103">
        <v>46</v>
      </c>
      <c r="AA61" s="103">
        <v>46.16</v>
      </c>
      <c r="AB61" s="101">
        <v>2737500</v>
      </c>
      <c r="AC61" s="100">
        <v>45.69</v>
      </c>
      <c r="AD61" s="2">
        <f t="shared" si="0"/>
        <v>0.71999999999999886</v>
      </c>
      <c r="AE61" s="138">
        <f t="shared" si="1"/>
        <v>-9.5382614350748574E-3</v>
      </c>
    </row>
    <row r="62" spans="15:31" x14ac:dyDescent="0.25">
      <c r="W62" s="99">
        <v>42668</v>
      </c>
      <c r="X62" s="103">
        <v>46.64</v>
      </c>
      <c r="Y62" s="103">
        <v>46.73</v>
      </c>
      <c r="Z62" s="103">
        <v>46.08</v>
      </c>
      <c r="AA62" s="103">
        <v>46.6</v>
      </c>
      <c r="AB62" s="101">
        <v>2743600</v>
      </c>
      <c r="AC62" s="100">
        <v>46.13</v>
      </c>
      <c r="AD62" s="2">
        <f t="shared" si="0"/>
        <v>0.64999999999999858</v>
      </c>
      <c r="AE62" s="138">
        <f t="shared" si="1"/>
        <v>-2.3788927335639531E-3</v>
      </c>
    </row>
    <row r="63" spans="15:31" x14ac:dyDescent="0.25">
      <c r="W63" s="99">
        <v>42667</v>
      </c>
      <c r="X63" s="103">
        <v>47.49</v>
      </c>
      <c r="Y63" s="103">
        <v>48.08</v>
      </c>
      <c r="Z63" s="103">
        <v>46.54</v>
      </c>
      <c r="AA63" s="103">
        <v>46.71</v>
      </c>
      <c r="AB63" s="101">
        <v>3544700</v>
      </c>
      <c r="AC63" s="100">
        <v>46.24</v>
      </c>
      <c r="AD63" s="2">
        <f t="shared" si="0"/>
        <v>1.5399999999999991</v>
      </c>
      <c r="AE63" s="138">
        <f t="shared" si="1"/>
        <v>-6.0189165950129686E-3</v>
      </c>
    </row>
    <row r="64" spans="15:31" x14ac:dyDescent="0.25">
      <c r="W64" s="99">
        <v>42664</v>
      </c>
      <c r="X64" s="103">
        <v>46.8</v>
      </c>
      <c r="Y64" s="103">
        <v>47.44</v>
      </c>
      <c r="Z64" s="103">
        <v>46.46</v>
      </c>
      <c r="AA64" s="103">
        <v>47</v>
      </c>
      <c r="AB64" s="101">
        <v>2205800</v>
      </c>
      <c r="AC64" s="100">
        <v>46.52</v>
      </c>
      <c r="AD64" s="2">
        <f t="shared" si="0"/>
        <v>0.97999999999999687</v>
      </c>
      <c r="AE64" s="138">
        <f t="shared" si="1"/>
        <v>-3.8543897216274381E-3</v>
      </c>
    </row>
    <row r="65" spans="23:31" x14ac:dyDescent="0.25">
      <c r="W65" s="99">
        <v>42663</v>
      </c>
      <c r="X65" s="103">
        <v>47.99</v>
      </c>
      <c r="Y65" s="103">
        <v>48</v>
      </c>
      <c r="Z65" s="103">
        <v>46.61</v>
      </c>
      <c r="AA65" s="103">
        <v>47.18</v>
      </c>
      <c r="AB65" s="101">
        <v>2937200</v>
      </c>
      <c r="AC65" s="100">
        <v>46.7</v>
      </c>
      <c r="AD65" s="2">
        <f t="shared" si="0"/>
        <v>1.3900000000000006</v>
      </c>
      <c r="AE65" s="138">
        <f t="shared" si="1"/>
        <v>-2.2808118853316461E-2</v>
      </c>
    </row>
    <row r="66" spans="23:31" x14ac:dyDescent="0.25">
      <c r="W66" s="99">
        <v>42662</v>
      </c>
      <c r="X66" s="103">
        <v>47.24</v>
      </c>
      <c r="Y66" s="103">
        <v>48.5</v>
      </c>
      <c r="Z66" s="103">
        <v>47.03</v>
      </c>
      <c r="AA66" s="103">
        <v>48.28</v>
      </c>
      <c r="AB66" s="101">
        <v>3521000</v>
      </c>
      <c r="AC66" s="100">
        <v>47.79</v>
      </c>
      <c r="AD66" s="2">
        <f t="shared" si="0"/>
        <v>1.4699999999999989</v>
      </c>
      <c r="AE66" s="138">
        <f t="shared" si="1"/>
        <v>2.6638023630504826E-2</v>
      </c>
    </row>
    <row r="67" spans="23:31" x14ac:dyDescent="0.25">
      <c r="W67" s="99">
        <v>42661</v>
      </c>
      <c r="X67" s="103">
        <v>46.72</v>
      </c>
      <c r="Y67" s="103">
        <v>47.35</v>
      </c>
      <c r="Z67" s="103">
        <v>46.72</v>
      </c>
      <c r="AA67" s="103">
        <v>47.03</v>
      </c>
      <c r="AB67" s="101">
        <v>2625700</v>
      </c>
      <c r="AC67" s="100">
        <v>46.55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42660</v>
      </c>
      <c r="X68" s="103">
        <v>46.96</v>
      </c>
      <c r="Y68" s="103">
        <v>47.83</v>
      </c>
      <c r="Z68" s="103">
        <v>46.93</v>
      </c>
      <c r="AA68" s="103">
        <v>47.2</v>
      </c>
      <c r="AB68" s="101">
        <v>2397500</v>
      </c>
      <c r="AC68" s="100">
        <v>46.72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37" priority="11">
      <formula>F27&gt;0</formula>
    </cfRule>
    <cfRule type="expression" dxfId="536" priority="12">
      <formula>F27&lt;0</formula>
    </cfRule>
  </conditionalFormatting>
  <conditionalFormatting sqref="H27:H29">
    <cfRule type="expression" dxfId="535" priority="9">
      <formula>H27&gt;0</formula>
    </cfRule>
    <cfRule type="expression" dxfId="534" priority="10">
      <formula>H27&lt;0</formula>
    </cfRule>
  </conditionalFormatting>
  <conditionalFormatting sqref="F23:F26">
    <cfRule type="expression" dxfId="533" priority="7">
      <formula>F23&gt;0</formula>
    </cfRule>
    <cfRule type="expression" dxfId="532" priority="8">
      <formula>F23&lt;0</formula>
    </cfRule>
  </conditionalFormatting>
  <conditionalFormatting sqref="H23:H26">
    <cfRule type="expression" dxfId="531" priority="5">
      <formula>H23&gt;0</formula>
    </cfRule>
    <cfRule type="expression" dxfId="530" priority="6">
      <formula>H23&lt;0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36.76</v>
      </c>
      <c r="Y2" s="103">
        <v>37.03</v>
      </c>
      <c r="Z2" s="103">
        <v>36.58</v>
      </c>
      <c r="AA2" s="103">
        <v>36.94</v>
      </c>
      <c r="AB2" s="101">
        <v>23536700</v>
      </c>
      <c r="AC2" s="100">
        <v>36.94</v>
      </c>
      <c r="AD2" s="2">
        <f>Y2-Z2</f>
        <v>0.45000000000000284</v>
      </c>
      <c r="AE2" s="138">
        <f>AC2/AC3-1</f>
        <v>1.0117582718074836E-2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36.94</v>
      </c>
      <c r="S3" s="115"/>
      <c r="T3" s="17"/>
      <c r="U3" s="17"/>
      <c r="V3" s="17"/>
      <c r="W3" s="99">
        <v>42754</v>
      </c>
      <c r="X3" s="103">
        <v>36.51</v>
      </c>
      <c r="Y3" s="103">
        <v>36.909999999999997</v>
      </c>
      <c r="Z3" s="103">
        <v>36.51</v>
      </c>
      <c r="AA3" s="103">
        <v>36.57</v>
      </c>
      <c r="AB3" s="101">
        <v>13600200</v>
      </c>
      <c r="AC3" s="100">
        <v>36.57</v>
      </c>
      <c r="AD3" s="2">
        <f t="shared" ref="AD3:AD66" si="0">Y3-Z3</f>
        <v>0.39999999999999858</v>
      </c>
      <c r="AE3" s="138">
        <f t="shared" ref="AE3:AE66" si="1">AC3/AC4-1</f>
        <v>-5.1686615886833431E-3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36.94</v>
      </c>
      <c r="R4" s="526">
        <v>1.01E-2</v>
      </c>
      <c r="W4" s="99">
        <v>42753</v>
      </c>
      <c r="X4" s="103">
        <v>36.89</v>
      </c>
      <c r="Y4" s="103">
        <v>37.01</v>
      </c>
      <c r="Z4" s="103">
        <v>36.61</v>
      </c>
      <c r="AA4" s="103">
        <v>36.76</v>
      </c>
      <c r="AB4" s="101">
        <v>15375400</v>
      </c>
      <c r="AC4" s="100">
        <v>36.76</v>
      </c>
      <c r="AD4" s="2">
        <f t="shared" si="0"/>
        <v>0.39999999999999858</v>
      </c>
      <c r="AE4" s="138">
        <f t="shared" si="1"/>
        <v>-1.0869565217390686E-3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36.67</v>
      </c>
      <c r="Y5" s="103">
        <v>36.83</v>
      </c>
      <c r="Z5" s="103">
        <v>36.590000000000003</v>
      </c>
      <c r="AA5" s="103">
        <v>36.799999999999997</v>
      </c>
      <c r="AB5" s="101">
        <v>20163000</v>
      </c>
      <c r="AC5" s="100">
        <v>36.799999999999997</v>
      </c>
      <c r="AD5" s="2">
        <f t="shared" si="0"/>
        <v>0.23999999999999488</v>
      </c>
      <c r="AE5" s="138">
        <f t="shared" si="1"/>
        <v>2.7181299266110237E-4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42748</v>
      </c>
      <c r="X6" s="103">
        <v>36.71</v>
      </c>
      <c r="Y6" s="103">
        <v>36.86</v>
      </c>
      <c r="Z6" s="103">
        <v>36.619999999999997</v>
      </c>
      <c r="AA6" s="103">
        <v>36.79</v>
      </c>
      <c r="AB6" s="101">
        <v>15064600</v>
      </c>
      <c r="AC6" s="100">
        <v>36.79</v>
      </c>
      <c r="AD6" s="2">
        <f t="shared" si="0"/>
        <v>0.24000000000000199</v>
      </c>
      <c r="AE6" s="138">
        <f t="shared" si="1"/>
        <v>2.1792427131570591E-3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42747</v>
      </c>
      <c r="X7" s="103">
        <v>36.83</v>
      </c>
      <c r="Y7" s="103">
        <v>36.83</v>
      </c>
      <c r="Z7" s="103">
        <v>36.32</v>
      </c>
      <c r="AA7" s="103">
        <v>36.71</v>
      </c>
      <c r="AB7" s="101">
        <v>20310300</v>
      </c>
      <c r="AC7" s="100">
        <v>36.71</v>
      </c>
      <c r="AD7" s="2">
        <f t="shared" si="0"/>
        <v>0.50999999999999801</v>
      </c>
      <c r="AE7" s="138">
        <f t="shared" si="1"/>
        <v>-6.4952638700948029E-3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36.51</v>
      </c>
      <c r="Y8" s="103">
        <v>37</v>
      </c>
      <c r="Z8" s="103">
        <v>36.51</v>
      </c>
      <c r="AA8" s="103">
        <v>36.950000000000003</v>
      </c>
      <c r="AB8" s="101">
        <v>21293700</v>
      </c>
      <c r="AC8" s="100">
        <v>36.950000000000003</v>
      </c>
      <c r="AD8" s="2">
        <f t="shared" si="0"/>
        <v>0.49000000000000199</v>
      </c>
      <c r="AE8" s="138">
        <f t="shared" si="1"/>
        <v>1.1220580186097617E-2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215</v>
      </c>
      <c r="Q9" s="138">
        <f>IF(Q2=0, 0, Q8/Q6)</f>
        <v>0</v>
      </c>
      <c r="W9" s="99">
        <v>42745</v>
      </c>
      <c r="X9" s="103">
        <v>36.549999999999997</v>
      </c>
      <c r="Y9" s="103">
        <v>36.93</v>
      </c>
      <c r="Z9" s="103">
        <v>36.53</v>
      </c>
      <c r="AA9" s="103">
        <v>36.54</v>
      </c>
      <c r="AB9" s="101">
        <v>15897500</v>
      </c>
      <c r="AC9" s="100">
        <v>36.54</v>
      </c>
      <c r="AD9" s="2">
        <f t="shared" si="0"/>
        <v>0.39999999999999858</v>
      </c>
      <c r="AE9" s="138">
        <f t="shared" si="1"/>
        <v>-1.9120458891013214E-3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214</v>
      </c>
      <c r="P10" s="34"/>
      <c r="Q10" s="2">
        <f>M33</f>
        <v>1407.5400000000009</v>
      </c>
      <c r="W10" s="99">
        <v>42744</v>
      </c>
      <c r="X10" s="103">
        <v>36.479999999999997</v>
      </c>
      <c r="Y10" s="103">
        <v>36.89</v>
      </c>
      <c r="Z10" s="103">
        <v>36.479999999999997</v>
      </c>
      <c r="AA10" s="103">
        <v>36.61</v>
      </c>
      <c r="AB10" s="101">
        <v>19449400</v>
      </c>
      <c r="AC10" s="100">
        <v>36.61</v>
      </c>
      <c r="AD10" s="2">
        <f t="shared" si="0"/>
        <v>0.41000000000000369</v>
      </c>
      <c r="AE10" s="138">
        <f t="shared" si="1"/>
        <v>3.5635964912281715E-3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2.8199999999999999E-2</v>
      </c>
      <c r="W11" s="99">
        <v>42741</v>
      </c>
      <c r="X11" s="103">
        <v>36.590000000000003</v>
      </c>
      <c r="Y11" s="103">
        <v>36.68</v>
      </c>
      <c r="Z11" s="103">
        <v>36.19</v>
      </c>
      <c r="AA11" s="103">
        <v>36.479999999999997</v>
      </c>
      <c r="AB11" s="101">
        <v>15105100</v>
      </c>
      <c r="AC11" s="100">
        <v>36.479999999999997</v>
      </c>
      <c r="AD11" s="2">
        <f t="shared" si="0"/>
        <v>0.49000000000000199</v>
      </c>
      <c r="AE11" s="138">
        <f t="shared" si="1"/>
        <v>3.5763411279228219E-3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42740</v>
      </c>
      <c r="X12" s="103">
        <v>36.450000000000003</v>
      </c>
      <c r="Y12" s="103">
        <v>36.72</v>
      </c>
      <c r="Z12" s="103">
        <v>36.31</v>
      </c>
      <c r="AA12" s="103">
        <v>36.35</v>
      </c>
      <c r="AB12" s="101">
        <v>13956600</v>
      </c>
      <c r="AC12" s="100">
        <v>36.35</v>
      </c>
      <c r="AD12" s="2">
        <f t="shared" si="0"/>
        <v>0.40999999999999659</v>
      </c>
      <c r="AE12" s="138">
        <f t="shared" si="1"/>
        <v>-1.647898928865521E-3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42739</v>
      </c>
      <c r="X13" s="103">
        <v>36.71</v>
      </c>
      <c r="Y13" s="103">
        <v>36.770000000000003</v>
      </c>
      <c r="Z13" s="103">
        <v>36.340000000000003</v>
      </c>
      <c r="AA13" s="103">
        <v>36.409999999999997</v>
      </c>
      <c r="AB13" s="101">
        <v>15808300</v>
      </c>
      <c r="AC13" s="100">
        <v>36.409999999999997</v>
      </c>
      <c r="AD13" s="2">
        <f t="shared" si="0"/>
        <v>0.42999999999999972</v>
      </c>
      <c r="AE13" s="138">
        <f t="shared" si="1"/>
        <v>-5.1912568306011764E-3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42738</v>
      </c>
      <c r="X14" s="103">
        <v>36.61</v>
      </c>
      <c r="Y14" s="103">
        <v>36.93</v>
      </c>
      <c r="Z14" s="103">
        <v>36.270000000000003</v>
      </c>
      <c r="AA14" s="103">
        <v>36.6</v>
      </c>
      <c r="AB14" s="101">
        <v>20124500</v>
      </c>
      <c r="AC14" s="100">
        <v>36.6</v>
      </c>
      <c r="AD14" s="2">
        <f t="shared" si="0"/>
        <v>0.65999999999999659</v>
      </c>
      <c r="AE14" s="138">
        <f t="shared" si="1"/>
        <v>9.0984284532671378E-3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42734</v>
      </c>
      <c r="X15" s="103">
        <v>36.79</v>
      </c>
      <c r="Y15" s="103">
        <v>36.799999999999997</v>
      </c>
      <c r="Z15" s="103">
        <v>36.200000000000003</v>
      </c>
      <c r="AA15" s="103">
        <v>36.270000000000003</v>
      </c>
      <c r="AB15" s="101">
        <v>17464900</v>
      </c>
      <c r="AC15" s="100">
        <v>36.270000000000003</v>
      </c>
      <c r="AD15" s="2">
        <f t="shared" si="0"/>
        <v>0.59999999999999432</v>
      </c>
      <c r="AE15" s="138">
        <f t="shared" si="1"/>
        <v>-1.0638297872340274E-2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42733</v>
      </c>
      <c r="X16" s="103">
        <v>36.51</v>
      </c>
      <c r="Y16" s="103">
        <v>36.72</v>
      </c>
      <c r="Z16" s="103">
        <v>36.43</v>
      </c>
      <c r="AA16" s="103">
        <v>36.659999999999997</v>
      </c>
      <c r="AB16" s="101">
        <v>8447300</v>
      </c>
      <c r="AC16" s="100">
        <v>36.659999999999997</v>
      </c>
      <c r="AD16" s="2">
        <f t="shared" si="0"/>
        <v>0.28999999999999915</v>
      </c>
      <c r="AE16" s="138">
        <f t="shared" si="1"/>
        <v>8.1900081900054822E-4</v>
      </c>
    </row>
    <row r="17" spans="1:31" x14ac:dyDescent="0.25">
      <c r="W17" s="99">
        <v>42732</v>
      </c>
      <c r="X17" s="103">
        <v>37.1</v>
      </c>
      <c r="Y17" s="103">
        <v>37.200000000000003</v>
      </c>
      <c r="Z17" s="103">
        <v>36.58</v>
      </c>
      <c r="AA17" s="103">
        <v>36.630000000000003</v>
      </c>
      <c r="AB17" s="101">
        <v>12583100</v>
      </c>
      <c r="AC17" s="100">
        <v>36.630000000000003</v>
      </c>
      <c r="AD17" s="2">
        <f t="shared" si="0"/>
        <v>0.62000000000000455</v>
      </c>
      <c r="AE17" s="138">
        <f t="shared" si="1"/>
        <v>-1.1869436201780381E-2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42731</v>
      </c>
      <c r="X18" s="103">
        <v>36.909999999999997</v>
      </c>
      <c r="Y18" s="103">
        <v>37.33</v>
      </c>
      <c r="Z18" s="103">
        <v>36.909999999999997</v>
      </c>
      <c r="AA18" s="103">
        <v>37.07</v>
      </c>
      <c r="AB18" s="101">
        <v>8995700</v>
      </c>
      <c r="AC18" s="100">
        <v>37.07</v>
      </c>
      <c r="AD18" s="2">
        <f t="shared" si="0"/>
        <v>0.42000000000000171</v>
      </c>
      <c r="AE18" s="138">
        <f t="shared" si="1"/>
        <v>2.7048958615094598E-3</v>
      </c>
    </row>
    <row r="19" spans="1:31" x14ac:dyDescent="0.25">
      <c r="W19" s="99">
        <v>42727</v>
      </c>
      <c r="X19" s="103">
        <v>36.93</v>
      </c>
      <c r="Y19" s="103">
        <v>36.979999999999997</v>
      </c>
      <c r="Z19" s="103">
        <v>36.770000000000003</v>
      </c>
      <c r="AA19" s="103">
        <v>36.97</v>
      </c>
      <c r="AB19" s="101">
        <v>6286000</v>
      </c>
      <c r="AC19" s="100">
        <v>36.97</v>
      </c>
      <c r="AD19" s="2">
        <f t="shared" si="0"/>
        <v>0.20999999999999375</v>
      </c>
      <c r="AE19" s="138">
        <f t="shared" si="1"/>
        <v>1.0831302464120451E-3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42726</v>
      </c>
      <c r="X20" s="103">
        <v>37.229999999999997</v>
      </c>
      <c r="Y20" s="103">
        <v>37.24</v>
      </c>
      <c r="Z20" s="103">
        <v>36.81</v>
      </c>
      <c r="AA20" s="103">
        <v>36.93</v>
      </c>
      <c r="AB20" s="101">
        <v>10783100</v>
      </c>
      <c r="AC20" s="100">
        <v>36.93</v>
      </c>
      <c r="AD20" s="2">
        <f t="shared" si="0"/>
        <v>0.42999999999999972</v>
      </c>
      <c r="AE20" s="138">
        <f t="shared" si="1"/>
        <v>-1.3520822065981042E-3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42725</v>
      </c>
      <c r="X21" s="103">
        <v>37.25</v>
      </c>
      <c r="Y21" s="103">
        <v>37.35</v>
      </c>
      <c r="Z21" s="103">
        <v>36.909999999999997</v>
      </c>
      <c r="AA21" s="103">
        <v>36.979999999999997</v>
      </c>
      <c r="AB21" s="101">
        <v>14320600</v>
      </c>
      <c r="AC21" s="100">
        <v>36.979999999999997</v>
      </c>
      <c r="AD21" s="2">
        <f t="shared" si="0"/>
        <v>0.44000000000000483</v>
      </c>
      <c r="AE21" s="138">
        <f t="shared" si="1"/>
        <v>-6.1811341037356637E-3</v>
      </c>
    </row>
    <row r="22" spans="1:31" x14ac:dyDescent="0.25">
      <c r="B22" s="193"/>
      <c r="C22" s="10"/>
      <c r="D22" s="40"/>
      <c r="E22" s="40"/>
      <c r="F22" s="40"/>
      <c r="G22" s="40"/>
      <c r="W22" s="99">
        <v>42724</v>
      </c>
      <c r="X22" s="103">
        <v>36.950000000000003</v>
      </c>
      <c r="Y22" s="103">
        <v>37.24</v>
      </c>
      <c r="Z22" s="103">
        <v>36.89</v>
      </c>
      <c r="AA22" s="103">
        <v>37.21</v>
      </c>
      <c r="AB22" s="101">
        <v>18544500</v>
      </c>
      <c r="AC22" s="100">
        <v>37.21</v>
      </c>
      <c r="AD22" s="2">
        <f t="shared" si="0"/>
        <v>0.35000000000000142</v>
      </c>
      <c r="AE22" s="138">
        <f t="shared" si="1"/>
        <v>8.6744375169423016E-3</v>
      </c>
    </row>
    <row r="23" spans="1:31" x14ac:dyDescent="0.25">
      <c r="B23" s="10"/>
      <c r="C23" s="10"/>
      <c r="D23" s="40"/>
      <c r="E23" s="40"/>
      <c r="F23" s="40"/>
      <c r="G23" s="40"/>
      <c r="W23" s="99">
        <v>42723</v>
      </c>
      <c r="X23" s="103">
        <v>36.340000000000003</v>
      </c>
      <c r="Y23" s="103">
        <v>36.950000000000003</v>
      </c>
      <c r="Z23" s="103">
        <v>36.270000000000003</v>
      </c>
      <c r="AA23" s="103">
        <v>36.89</v>
      </c>
      <c r="AB23" s="101">
        <v>18689200</v>
      </c>
      <c r="AC23" s="100">
        <v>36.89</v>
      </c>
      <c r="AD23" s="2">
        <f t="shared" si="0"/>
        <v>0.67999999999999972</v>
      </c>
      <c r="AE23" s="138">
        <f t="shared" si="1"/>
        <v>1.5973561002478709E-2</v>
      </c>
    </row>
    <row r="24" spans="1:31" x14ac:dyDescent="0.25">
      <c r="B24" s="10"/>
      <c r="C24" s="10"/>
      <c r="D24" s="40"/>
      <c r="E24" s="40"/>
      <c r="F24" s="40"/>
      <c r="G24" s="40"/>
      <c r="W24" s="99">
        <v>42720</v>
      </c>
      <c r="X24" s="103">
        <v>36.72</v>
      </c>
      <c r="Y24" s="103">
        <v>36.869999999999997</v>
      </c>
      <c r="Z24" s="103">
        <v>36.090000000000003</v>
      </c>
      <c r="AA24" s="103">
        <v>36.31</v>
      </c>
      <c r="AB24" s="101">
        <v>37794500</v>
      </c>
      <c r="AC24" s="100">
        <v>36.31</v>
      </c>
      <c r="AD24" s="2">
        <f t="shared" si="0"/>
        <v>0.77999999999999403</v>
      </c>
      <c r="AE24" s="138">
        <f t="shared" si="1"/>
        <v>-1.3047023647730249E-2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42719</v>
      </c>
      <c r="X25" s="103">
        <v>36.74</v>
      </c>
      <c r="Y25" s="103">
        <v>37.159999999999997</v>
      </c>
      <c r="Z25" s="103">
        <v>36.53</v>
      </c>
      <c r="AA25" s="103">
        <v>36.79</v>
      </c>
      <c r="AB25" s="101">
        <v>23717700</v>
      </c>
      <c r="AC25" s="100">
        <v>36.79</v>
      </c>
      <c r="AD25" s="2">
        <f t="shared" si="0"/>
        <v>0.62999999999999545</v>
      </c>
      <c r="AE25" s="138">
        <f t="shared" si="1"/>
        <v>6.5663474692203572E-3</v>
      </c>
    </row>
    <row r="26" spans="1:31" x14ac:dyDescent="0.25">
      <c r="B26" s="10"/>
      <c r="C26" s="10"/>
      <c r="D26" s="40"/>
      <c r="E26" s="40"/>
      <c r="F26" s="40"/>
      <c r="G26" s="40"/>
      <c r="W26" s="99">
        <v>42718</v>
      </c>
      <c r="X26" s="103">
        <v>36.700000000000003</v>
      </c>
      <c r="Y26" s="103">
        <v>36.89</v>
      </c>
      <c r="Z26" s="103">
        <v>36.46</v>
      </c>
      <c r="AA26" s="103">
        <v>36.549999999999997</v>
      </c>
      <c r="AB26" s="101">
        <v>30351600</v>
      </c>
      <c r="AC26" s="100">
        <v>36.549999999999997</v>
      </c>
      <c r="AD26" s="2">
        <f t="shared" si="0"/>
        <v>0.42999999999999972</v>
      </c>
      <c r="AE26" s="138">
        <f t="shared" si="1"/>
        <v>-6.7934782608695121E-3</v>
      </c>
    </row>
    <row r="27" spans="1:31" x14ac:dyDescent="0.25">
      <c r="B27" s="10"/>
      <c r="C27" s="10"/>
      <c r="D27" s="40"/>
      <c r="E27" s="40"/>
      <c r="F27" s="40"/>
      <c r="G27" s="40"/>
      <c r="W27" s="99">
        <v>42717</v>
      </c>
      <c r="X27" s="103">
        <v>36.01</v>
      </c>
      <c r="Y27" s="103">
        <v>36.89</v>
      </c>
      <c r="Z27" s="103">
        <v>35.93</v>
      </c>
      <c r="AA27" s="103">
        <v>36.799999999999997</v>
      </c>
      <c r="AB27" s="101">
        <v>35358100</v>
      </c>
      <c r="AC27" s="100">
        <v>36.799999999999997</v>
      </c>
      <c r="AD27" s="2">
        <f t="shared" si="0"/>
        <v>0.96000000000000085</v>
      </c>
      <c r="AE27" s="138">
        <f t="shared" si="1"/>
        <v>2.307478454267442E-2</v>
      </c>
    </row>
    <row r="28" spans="1:31" x14ac:dyDescent="0.25">
      <c r="B28" s="10"/>
      <c r="C28" s="10"/>
      <c r="D28" s="40"/>
      <c r="E28" s="40"/>
      <c r="F28" s="40"/>
      <c r="G28" s="40"/>
      <c r="W28" s="99">
        <v>42716</v>
      </c>
      <c r="X28" s="103">
        <v>35.78</v>
      </c>
      <c r="Y28" s="103">
        <v>36.090000000000003</v>
      </c>
      <c r="Z28" s="103">
        <v>35.67</v>
      </c>
      <c r="AA28" s="103">
        <v>35.97</v>
      </c>
      <c r="AB28" s="101">
        <v>21914900</v>
      </c>
      <c r="AC28" s="100">
        <v>35.97</v>
      </c>
      <c r="AD28" s="2">
        <f t="shared" si="0"/>
        <v>0.42000000000000171</v>
      </c>
      <c r="AE28" s="138">
        <f t="shared" si="1"/>
        <v>5.8724832214764877E-3</v>
      </c>
    </row>
    <row r="29" spans="1:31" x14ac:dyDescent="0.25">
      <c r="B29" s="10"/>
      <c r="C29" s="10"/>
      <c r="D29" s="40"/>
      <c r="E29" s="40"/>
      <c r="F29" s="40"/>
      <c r="G29" s="40"/>
      <c r="W29" s="99">
        <v>42713</v>
      </c>
      <c r="X29" s="103">
        <v>35.75</v>
      </c>
      <c r="Y29" s="103">
        <v>35.9</v>
      </c>
      <c r="Z29" s="103">
        <v>35.590000000000003</v>
      </c>
      <c r="AA29" s="103">
        <v>35.76</v>
      </c>
      <c r="AB29" s="101">
        <v>16291200</v>
      </c>
      <c r="AC29" s="100">
        <v>35.76</v>
      </c>
      <c r="AD29" s="2">
        <f t="shared" si="0"/>
        <v>0.30999999999999517</v>
      </c>
      <c r="AE29" s="138">
        <f t="shared" si="1"/>
        <v>1.680672268907335E-3</v>
      </c>
    </row>
    <row r="30" spans="1:31" x14ac:dyDescent="0.25">
      <c r="B30" s="10"/>
      <c r="C30" s="10"/>
      <c r="D30" s="40"/>
      <c r="E30" s="40"/>
      <c r="F30" s="40"/>
      <c r="G30" s="40"/>
      <c r="W30" s="99">
        <v>42712</v>
      </c>
      <c r="X30" s="103">
        <v>35.479999999999997</v>
      </c>
      <c r="Y30" s="103">
        <v>36.03</v>
      </c>
      <c r="Z30" s="103">
        <v>35.22</v>
      </c>
      <c r="AA30" s="103">
        <v>35.700000000000003</v>
      </c>
      <c r="AB30" s="101">
        <v>19915500</v>
      </c>
      <c r="AC30" s="100">
        <v>35.700000000000003</v>
      </c>
      <c r="AD30" s="2">
        <f t="shared" si="0"/>
        <v>0.81000000000000227</v>
      </c>
      <c r="AE30" s="138">
        <f t="shared" si="1"/>
        <v>5.6338028169014009E-3</v>
      </c>
    </row>
    <row r="31" spans="1:31" x14ac:dyDescent="0.25">
      <c r="W31" s="99">
        <v>42711</v>
      </c>
      <c r="X31" s="103">
        <v>34.67</v>
      </c>
      <c r="Y31" s="103">
        <v>35.57</v>
      </c>
      <c r="Z31" s="103">
        <v>34.450000000000003</v>
      </c>
      <c r="AA31" s="103">
        <v>35.5</v>
      </c>
      <c r="AB31" s="101">
        <v>21555100</v>
      </c>
      <c r="AC31" s="100">
        <v>35.5</v>
      </c>
      <c r="AD31" s="2">
        <f t="shared" si="0"/>
        <v>1.1199999999999974</v>
      </c>
      <c r="AE31" s="138">
        <f t="shared" si="1"/>
        <v>2.2465437788018461E-2</v>
      </c>
    </row>
    <row r="32" spans="1:31" x14ac:dyDescent="0.25">
      <c r="W32" s="99">
        <v>42710</v>
      </c>
      <c r="X32" s="103">
        <v>34.39</v>
      </c>
      <c r="Y32" s="103">
        <v>34.75</v>
      </c>
      <c r="Z32" s="103">
        <v>34.299999999999997</v>
      </c>
      <c r="AA32" s="103">
        <v>34.72</v>
      </c>
      <c r="AB32" s="101">
        <v>15101300</v>
      </c>
      <c r="AC32" s="100">
        <v>34.72</v>
      </c>
      <c r="AD32" s="2">
        <f t="shared" si="0"/>
        <v>0.45000000000000284</v>
      </c>
      <c r="AE32" s="138">
        <f t="shared" si="1"/>
        <v>9.5958127362605339E-3</v>
      </c>
    </row>
    <row r="33" spans="1:31" x14ac:dyDescent="0.25">
      <c r="L33" t="s">
        <v>214</v>
      </c>
      <c r="M33" s="2">
        <f>M56+K56-F56</f>
        <v>1407.5400000000009</v>
      </c>
      <c r="W33" s="99">
        <v>42709</v>
      </c>
      <c r="X33" s="103">
        <v>34.31</v>
      </c>
      <c r="Y33" s="103">
        <v>34.42</v>
      </c>
      <c r="Z33" s="103">
        <v>33.97</v>
      </c>
      <c r="AA33" s="103">
        <v>34.39</v>
      </c>
      <c r="AB33" s="101">
        <v>14418200</v>
      </c>
      <c r="AC33" s="100">
        <v>34.39</v>
      </c>
      <c r="AD33" s="2">
        <f t="shared" si="0"/>
        <v>0.45000000000000284</v>
      </c>
      <c r="AE33" s="138">
        <f t="shared" si="1"/>
        <v>6.7330210772835741E-3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42706</v>
      </c>
      <c r="X34" s="103">
        <v>33.72</v>
      </c>
      <c r="Y34" s="103">
        <v>34.26</v>
      </c>
      <c r="Z34" s="103">
        <v>33.6</v>
      </c>
      <c r="AA34" s="103">
        <v>34.159999999999997</v>
      </c>
      <c r="AB34" s="101">
        <v>21440700</v>
      </c>
      <c r="AC34" s="100">
        <v>34.159999999999997</v>
      </c>
      <c r="AD34" s="2">
        <f t="shared" si="0"/>
        <v>0.65999999999999659</v>
      </c>
      <c r="AE34" s="138">
        <f t="shared" si="1"/>
        <v>1.1848341232227444E-2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42705</v>
      </c>
      <c r="X35" s="103">
        <v>34.86</v>
      </c>
      <c r="Y35" s="103">
        <v>34.93</v>
      </c>
      <c r="Z35" s="103">
        <v>33.56</v>
      </c>
      <c r="AA35" s="103">
        <v>33.76</v>
      </c>
      <c r="AB35" s="101">
        <v>29550100</v>
      </c>
      <c r="AC35" s="100">
        <v>33.76</v>
      </c>
      <c r="AD35" s="2">
        <f t="shared" si="0"/>
        <v>1.3699999999999974</v>
      </c>
      <c r="AE35" s="138">
        <f t="shared" si="1"/>
        <v>-2.7089337175792649E-2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42704</v>
      </c>
      <c r="X36" s="103">
        <v>35.200000000000003</v>
      </c>
      <c r="Y36" s="103">
        <v>35.299999999999997</v>
      </c>
      <c r="Z36" s="103">
        <v>34.700000000000003</v>
      </c>
      <c r="AA36" s="103">
        <v>34.700000000000003</v>
      </c>
      <c r="AB36" s="101">
        <v>26864000</v>
      </c>
      <c r="AC36" s="100">
        <v>34.700000000000003</v>
      </c>
      <c r="AD36" s="2">
        <f t="shared" si="0"/>
        <v>0.59999999999999432</v>
      </c>
      <c r="AE36" s="138">
        <f t="shared" si="1"/>
        <v>-1.7275559331634049E-2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42703</v>
      </c>
      <c r="X37" s="103">
        <v>35.64</v>
      </c>
      <c r="Y37" s="103">
        <v>35.64</v>
      </c>
      <c r="Z37" s="103">
        <v>35.270000000000003</v>
      </c>
      <c r="AA37" s="103">
        <v>35.31</v>
      </c>
      <c r="AB37" s="101">
        <v>19571100</v>
      </c>
      <c r="AC37" s="100">
        <v>35.31</v>
      </c>
      <c r="AD37" s="2">
        <f t="shared" si="0"/>
        <v>0.36999999999999744</v>
      </c>
      <c r="AE37" s="138">
        <f t="shared" si="1"/>
        <v>-5.6322162771049733E-3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42702</v>
      </c>
      <c r="X38" s="103">
        <v>35.43</v>
      </c>
      <c r="Y38" s="103">
        <v>35.659999999999997</v>
      </c>
      <c r="Z38" s="103">
        <v>35.21</v>
      </c>
      <c r="AA38" s="103">
        <v>35.51</v>
      </c>
      <c r="AB38" s="101">
        <v>13509400</v>
      </c>
      <c r="AC38" s="100">
        <v>35.51</v>
      </c>
      <c r="AD38" s="2">
        <f t="shared" si="0"/>
        <v>0.44999999999999574</v>
      </c>
      <c r="AE38" s="138">
        <f t="shared" si="1"/>
        <v>1.9751693002256765E-3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42699</v>
      </c>
      <c r="X39" s="103">
        <v>35.11</v>
      </c>
      <c r="Y39" s="103">
        <v>35.450000000000003</v>
      </c>
      <c r="Z39" s="103">
        <v>35.11</v>
      </c>
      <c r="AA39" s="103">
        <v>35.44</v>
      </c>
      <c r="AB39" s="101">
        <v>6349200</v>
      </c>
      <c r="AC39" s="100">
        <v>35.44</v>
      </c>
      <c r="AD39" s="2">
        <f t="shared" si="0"/>
        <v>0.34000000000000341</v>
      </c>
      <c r="AE39" s="138">
        <f t="shared" si="1"/>
        <v>6.8181818181816123E-3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2" t="s">
        <v>78</v>
      </c>
      <c r="P40" s="632"/>
      <c r="W40" s="99">
        <v>42697</v>
      </c>
      <c r="X40" s="103">
        <v>35.479999999999997</v>
      </c>
      <c r="Y40" s="103">
        <v>35.520000000000003</v>
      </c>
      <c r="Z40" s="103">
        <v>35.1</v>
      </c>
      <c r="AA40" s="103">
        <v>35.200000000000003</v>
      </c>
      <c r="AB40" s="101">
        <v>15843100</v>
      </c>
      <c r="AC40" s="100">
        <v>35.200000000000003</v>
      </c>
      <c r="AD40" s="2">
        <f t="shared" si="0"/>
        <v>0.42000000000000171</v>
      </c>
      <c r="AE40" s="138">
        <f t="shared" si="1"/>
        <v>-7.8917700112738354E-3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40.634</v>
      </c>
      <c r="Q41" s="2"/>
      <c r="W41" s="99">
        <v>42696</v>
      </c>
      <c r="X41" s="103">
        <v>35.18</v>
      </c>
      <c r="Y41" s="103">
        <v>35.5</v>
      </c>
      <c r="Z41" s="103">
        <v>35.11</v>
      </c>
      <c r="AA41" s="103">
        <v>35.479999999999997</v>
      </c>
      <c r="AB41" s="101">
        <v>22313500</v>
      </c>
      <c r="AC41" s="100">
        <v>35.479999999999997</v>
      </c>
      <c r="AD41" s="2">
        <f t="shared" si="0"/>
        <v>0.39000000000000057</v>
      </c>
      <c r="AE41" s="138">
        <f t="shared" si="1"/>
        <v>1.4293882218410436E-2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40.264600000000002</v>
      </c>
      <c r="Q42" s="2"/>
      <c r="T42" s="91" t="s">
        <v>113</v>
      </c>
      <c r="W42" s="99">
        <v>42695</v>
      </c>
      <c r="X42" s="103">
        <v>35.1</v>
      </c>
      <c r="Y42" s="103">
        <v>35.200000000000003</v>
      </c>
      <c r="Z42" s="103">
        <v>34.840000000000003</v>
      </c>
      <c r="AA42" s="103">
        <v>34.979999999999997</v>
      </c>
      <c r="AB42" s="101">
        <v>14195800</v>
      </c>
      <c r="AC42" s="100">
        <v>34.979999999999997</v>
      </c>
      <c r="AD42" s="2">
        <f t="shared" si="0"/>
        <v>0.35999999999999943</v>
      </c>
      <c r="AE42" s="138">
        <f t="shared" si="1"/>
        <v>8.5836909871228606E-4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39.895200000000003</v>
      </c>
      <c r="Q43" s="2"/>
      <c r="T43" s="97" t="s">
        <v>98</v>
      </c>
      <c r="U43" s="98">
        <v>36.57</v>
      </c>
      <c r="V43" s="412"/>
      <c r="W43" s="99">
        <v>42692</v>
      </c>
      <c r="X43" s="103">
        <v>34.9</v>
      </c>
      <c r="Y43" s="103">
        <v>35</v>
      </c>
      <c r="Z43" s="103">
        <v>34.64</v>
      </c>
      <c r="AA43" s="103">
        <v>34.950000000000003</v>
      </c>
      <c r="AB43" s="101">
        <v>16516500</v>
      </c>
      <c r="AC43" s="100">
        <v>34.950000000000003</v>
      </c>
      <c r="AD43" s="2">
        <f t="shared" si="0"/>
        <v>0.35999999999999943</v>
      </c>
      <c r="AE43" s="138">
        <f t="shared" si="1"/>
        <v>-1.9988577955454279E-3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39.525799999999997</v>
      </c>
      <c r="Q44" s="2"/>
      <c r="T44" s="87" t="s">
        <v>99</v>
      </c>
      <c r="U44" s="88">
        <v>36.76</v>
      </c>
      <c r="V44" s="413"/>
      <c r="W44" s="99">
        <v>42691</v>
      </c>
      <c r="X44" s="103">
        <v>34.81</v>
      </c>
      <c r="Y44" s="103">
        <v>35.020000000000003</v>
      </c>
      <c r="Z44" s="103">
        <v>34.630000000000003</v>
      </c>
      <c r="AA44" s="103">
        <v>35.020000000000003</v>
      </c>
      <c r="AB44" s="101">
        <v>15731300</v>
      </c>
      <c r="AC44" s="100">
        <v>35.020000000000003</v>
      </c>
      <c r="AD44" s="2">
        <f t="shared" si="0"/>
        <v>0.39000000000000057</v>
      </c>
      <c r="AE44" s="138">
        <f t="shared" si="1"/>
        <v>5.1664753157290022E-3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39.156399999999998</v>
      </c>
      <c r="Q45" s="2"/>
      <c r="T45" s="87" t="s">
        <v>100</v>
      </c>
      <c r="U45" s="88" t="s">
        <v>529</v>
      </c>
      <c r="V45" s="413"/>
      <c r="W45" s="99">
        <v>42690</v>
      </c>
      <c r="X45" s="103">
        <v>34.9</v>
      </c>
      <c r="Y45" s="103">
        <v>34.92</v>
      </c>
      <c r="Z45" s="103">
        <v>34.54</v>
      </c>
      <c r="AA45" s="103">
        <v>34.840000000000003</v>
      </c>
      <c r="AB45" s="101">
        <v>18535200</v>
      </c>
      <c r="AC45" s="100">
        <v>34.840000000000003</v>
      </c>
      <c r="AD45" s="2">
        <f t="shared" si="0"/>
        <v>0.38000000000000256</v>
      </c>
      <c r="AE45" s="138">
        <f t="shared" si="1"/>
        <v>-2.0051561157259368E-3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38.786999999999999</v>
      </c>
      <c r="Q46" s="2"/>
      <c r="T46" s="87" t="s">
        <v>101</v>
      </c>
      <c r="U46" s="88" t="s">
        <v>530</v>
      </c>
      <c r="V46" s="413"/>
      <c r="W46" s="99">
        <v>42689</v>
      </c>
      <c r="X46" s="103">
        <v>34.64</v>
      </c>
      <c r="Y46" s="103">
        <v>35.29</v>
      </c>
      <c r="Z46" s="103">
        <v>34.61</v>
      </c>
      <c r="AA46" s="103">
        <v>34.909999999999997</v>
      </c>
      <c r="AB46" s="101">
        <v>20651300</v>
      </c>
      <c r="AC46" s="100">
        <v>34.909999999999997</v>
      </c>
      <c r="AD46" s="2">
        <f t="shared" si="0"/>
        <v>0.67999999999999972</v>
      </c>
      <c r="AE46" s="138">
        <f t="shared" si="1"/>
        <v>1.24709976798143E-2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38.4176</v>
      </c>
      <c r="Q47" s="2"/>
      <c r="T47" s="87" t="s">
        <v>102</v>
      </c>
      <c r="U47" s="88">
        <v>40.090000000000003</v>
      </c>
      <c r="V47" s="413"/>
      <c r="W47" s="99">
        <v>42688</v>
      </c>
      <c r="X47" s="103">
        <v>34.56</v>
      </c>
      <c r="Y47" s="103">
        <v>34.729999999999997</v>
      </c>
      <c r="Z47" s="103">
        <v>34.200000000000003</v>
      </c>
      <c r="AA47" s="103">
        <v>34.479999999999997</v>
      </c>
      <c r="AB47" s="101">
        <v>22529400</v>
      </c>
      <c r="AC47" s="100">
        <v>34.479999999999997</v>
      </c>
      <c r="AD47" s="2">
        <f t="shared" si="0"/>
        <v>0.52999999999999403</v>
      </c>
      <c r="AE47" s="138">
        <f t="shared" si="1"/>
        <v>-3.7561398439758253E-3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38.048200000000001</v>
      </c>
      <c r="Q48" s="2"/>
      <c r="T48" s="87" t="s">
        <v>103</v>
      </c>
      <c r="U48" s="88">
        <v>1.15751</v>
      </c>
      <c r="V48" s="413"/>
      <c r="W48" s="99">
        <v>42685</v>
      </c>
      <c r="X48" s="103">
        <v>34.57</v>
      </c>
      <c r="Y48" s="103">
        <v>34.869999999999997</v>
      </c>
      <c r="Z48" s="103">
        <v>34.340000000000003</v>
      </c>
      <c r="AA48" s="103">
        <v>34.61</v>
      </c>
      <c r="AB48" s="101">
        <v>22549700</v>
      </c>
      <c r="AC48" s="100">
        <v>34.61</v>
      </c>
      <c r="AD48" s="2">
        <f t="shared" si="0"/>
        <v>0.52999999999999403</v>
      </c>
      <c r="AE48" s="138">
        <f t="shared" si="1"/>
        <v>3.1884057971014457E-3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37.678799999999995</v>
      </c>
      <c r="Q49" s="2"/>
      <c r="T49" s="87" t="s">
        <v>104</v>
      </c>
      <c r="U49" s="89" t="s">
        <v>390</v>
      </c>
      <c r="V49" s="414"/>
      <c r="W49" s="99">
        <v>42684</v>
      </c>
      <c r="X49" s="103">
        <v>34.950000000000003</v>
      </c>
      <c r="Y49" s="103">
        <v>34.950000000000003</v>
      </c>
      <c r="Z49" s="103">
        <v>34.03</v>
      </c>
      <c r="AA49" s="103">
        <v>34.5</v>
      </c>
      <c r="AB49" s="101">
        <v>28249900</v>
      </c>
      <c r="AC49" s="100">
        <v>34.5</v>
      </c>
      <c r="AD49" s="2">
        <f t="shared" si="0"/>
        <v>0.92000000000000171</v>
      </c>
      <c r="AE49" s="138">
        <f t="shared" si="1"/>
        <v>-7.194244604316502E-3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37.309399999999997</v>
      </c>
      <c r="Q50" s="2"/>
      <c r="T50" s="87"/>
      <c r="U50" s="88"/>
      <c r="V50" s="413"/>
      <c r="W50" s="99">
        <v>42683</v>
      </c>
      <c r="X50" s="103">
        <v>34.130000000000003</v>
      </c>
      <c r="Y50" s="103">
        <v>34.85</v>
      </c>
      <c r="Z50" s="103">
        <v>33.67</v>
      </c>
      <c r="AA50" s="103">
        <v>34.75</v>
      </c>
      <c r="AB50" s="101">
        <v>25991200</v>
      </c>
      <c r="AC50" s="100">
        <v>34.75</v>
      </c>
      <c r="AD50" s="2">
        <f t="shared" si="0"/>
        <v>1.1799999999999997</v>
      </c>
      <c r="AE50" s="138">
        <f t="shared" si="1"/>
        <v>2.8785261945873941E-4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36.94</v>
      </c>
      <c r="Q51" s="2"/>
      <c r="T51" s="87" t="s">
        <v>105</v>
      </c>
      <c r="U51" s="88" t="s">
        <v>531</v>
      </c>
      <c r="V51" s="413"/>
      <c r="W51" s="99">
        <v>42682</v>
      </c>
      <c r="X51" s="103">
        <v>34.6</v>
      </c>
      <c r="Y51" s="103">
        <v>34.950000000000003</v>
      </c>
      <c r="Z51" s="103">
        <v>34.49</v>
      </c>
      <c r="AA51" s="103">
        <v>34.74</v>
      </c>
      <c r="AB51" s="101">
        <v>14833100</v>
      </c>
      <c r="AC51" s="100">
        <v>34.74</v>
      </c>
      <c r="AD51" s="2">
        <f t="shared" si="0"/>
        <v>0.46000000000000085</v>
      </c>
      <c r="AE51" s="138">
        <f t="shared" si="1"/>
        <v>1.4413375612569723E-3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36.570599999999999</v>
      </c>
      <c r="Q52" s="2"/>
      <c r="T52" s="87" t="s">
        <v>106</v>
      </c>
      <c r="U52" s="88" t="s">
        <v>319</v>
      </c>
      <c r="V52" s="413"/>
      <c r="W52" s="99">
        <v>42681</v>
      </c>
      <c r="X52" s="103">
        <v>34.24</v>
      </c>
      <c r="Y52" s="103">
        <v>34.75</v>
      </c>
      <c r="Z52" s="103">
        <v>34.15</v>
      </c>
      <c r="AA52" s="103">
        <v>34.69</v>
      </c>
      <c r="AB52" s="101">
        <v>19296600</v>
      </c>
      <c r="AC52" s="100">
        <v>34.69</v>
      </c>
      <c r="AD52" s="2">
        <f t="shared" si="0"/>
        <v>0.60000000000000142</v>
      </c>
      <c r="AE52" s="138">
        <f t="shared" si="1"/>
        <v>3.2133293662600426E-2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36.2012</v>
      </c>
      <c r="Q53" s="2"/>
      <c r="T53" s="87" t="s">
        <v>107</v>
      </c>
      <c r="U53" s="90">
        <v>23950936</v>
      </c>
      <c r="V53" s="415"/>
      <c r="W53" s="99">
        <v>42678</v>
      </c>
      <c r="X53" s="103">
        <v>33.53</v>
      </c>
      <c r="Y53" s="103">
        <v>33.93</v>
      </c>
      <c r="Z53" s="103">
        <v>33.42</v>
      </c>
      <c r="AA53" s="103">
        <v>33.61</v>
      </c>
      <c r="AB53" s="101">
        <v>21914700</v>
      </c>
      <c r="AC53" s="100">
        <v>33.61</v>
      </c>
      <c r="AD53" s="2">
        <f t="shared" si="0"/>
        <v>0.50999999999999801</v>
      </c>
      <c r="AE53" s="138">
        <f t="shared" si="1"/>
        <v>-9.4311818449749341E-3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35.831799999999994</v>
      </c>
      <c r="T54" s="87" t="s">
        <v>110</v>
      </c>
      <c r="U54" s="90">
        <v>19053600</v>
      </c>
      <c r="V54" s="415"/>
      <c r="W54" s="99">
        <v>42677</v>
      </c>
      <c r="X54" s="103">
        <v>34.450000000000003</v>
      </c>
      <c r="Y54" s="103">
        <v>34.520000000000003</v>
      </c>
      <c r="Z54" s="103">
        <v>33.869999999999997</v>
      </c>
      <c r="AA54" s="103">
        <v>33.93</v>
      </c>
      <c r="AB54" s="101">
        <v>19400000</v>
      </c>
      <c r="AC54" s="100">
        <v>33.93</v>
      </c>
      <c r="AD54" s="2">
        <f t="shared" si="0"/>
        <v>0.65000000000000568</v>
      </c>
      <c r="AE54" s="138">
        <f t="shared" si="1"/>
        <v>-1.9364161849711015E-2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35.462399999999995</v>
      </c>
      <c r="T55" s="87" t="s">
        <v>108</v>
      </c>
      <c r="U55" s="88" t="s">
        <v>532</v>
      </c>
      <c r="V55" s="413"/>
      <c r="W55" s="99">
        <v>42676</v>
      </c>
      <c r="X55" s="103">
        <v>34.6</v>
      </c>
      <c r="Y55" s="103">
        <v>34.9</v>
      </c>
      <c r="Z55" s="103">
        <v>34.47</v>
      </c>
      <c r="AA55" s="103">
        <v>34.6</v>
      </c>
      <c r="AB55" s="101">
        <v>21416400</v>
      </c>
      <c r="AC55" s="100">
        <v>34.6</v>
      </c>
      <c r="AD55" s="2">
        <f t="shared" si="0"/>
        <v>0.42999999999999972</v>
      </c>
      <c r="AE55" s="138">
        <f t="shared" si="1"/>
        <v>2.3174971031285629E-3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35.092999999999996</v>
      </c>
      <c r="T56" s="87" t="s">
        <v>111</v>
      </c>
      <c r="U56" s="88">
        <v>17.329999999999998</v>
      </c>
      <c r="V56" s="413"/>
      <c r="W56" s="99">
        <v>42675</v>
      </c>
      <c r="X56" s="103">
        <v>34.9</v>
      </c>
      <c r="Y56" s="103">
        <v>35.159999999999997</v>
      </c>
      <c r="Z56" s="103">
        <v>34.270000000000003</v>
      </c>
      <c r="AA56" s="103">
        <v>34.520000000000003</v>
      </c>
      <c r="AB56" s="101">
        <v>25352400</v>
      </c>
      <c r="AC56" s="100">
        <v>34.520000000000003</v>
      </c>
      <c r="AD56" s="2">
        <f t="shared" si="0"/>
        <v>0.88999999999999346</v>
      </c>
      <c r="AE56" s="138">
        <f t="shared" si="1"/>
        <v>-1.0037281330656511E-2</v>
      </c>
    </row>
    <row r="57" spans="1:31" x14ac:dyDescent="0.25">
      <c r="O57" s="83">
        <v>0.94</v>
      </c>
      <c r="P57" s="83">
        <f t="shared" si="4"/>
        <v>34.723599999999998</v>
      </c>
      <c r="T57" s="87" t="s">
        <v>112</v>
      </c>
      <c r="U57" s="88">
        <v>2.13</v>
      </c>
      <c r="V57" s="413"/>
      <c r="W57" s="99">
        <v>42674</v>
      </c>
      <c r="X57" s="103">
        <v>34.92</v>
      </c>
      <c r="Y57" s="103">
        <v>35.08</v>
      </c>
      <c r="Z57" s="103">
        <v>34.840000000000003</v>
      </c>
      <c r="AA57" s="103">
        <v>34.869999999999997</v>
      </c>
      <c r="AB57" s="101">
        <v>19188600</v>
      </c>
      <c r="AC57" s="100">
        <v>34.869999999999997</v>
      </c>
      <c r="AD57" s="2">
        <f t="shared" si="0"/>
        <v>0.23999999999999488</v>
      </c>
      <c r="AE57" s="138">
        <f t="shared" si="1"/>
        <v>3.7420840529647226E-3</v>
      </c>
    </row>
    <row r="58" spans="1:31" x14ac:dyDescent="0.25">
      <c r="O58" s="83">
        <v>0.93</v>
      </c>
      <c r="P58" s="83">
        <f t="shared" si="4"/>
        <v>34.354199999999999</v>
      </c>
      <c r="T58" s="87" t="s">
        <v>109</v>
      </c>
      <c r="U58" s="88" t="s">
        <v>639</v>
      </c>
      <c r="V58" s="413"/>
      <c r="W58" s="99">
        <v>42671</v>
      </c>
      <c r="X58" s="103">
        <v>34.869999999999997</v>
      </c>
      <c r="Y58" s="103">
        <v>35.17</v>
      </c>
      <c r="Z58" s="103">
        <v>34.71</v>
      </c>
      <c r="AA58" s="103">
        <v>34.74</v>
      </c>
      <c r="AB58" s="101">
        <v>22296400</v>
      </c>
      <c r="AC58" s="100">
        <v>34.74</v>
      </c>
      <c r="AD58" s="2">
        <f t="shared" si="0"/>
        <v>0.46000000000000085</v>
      </c>
      <c r="AE58" s="138">
        <f t="shared" si="1"/>
        <v>-2.0109164033323967E-3</v>
      </c>
    </row>
    <row r="59" spans="1:31" x14ac:dyDescent="0.25">
      <c r="O59" s="83">
        <v>0.92</v>
      </c>
      <c r="P59" s="83">
        <f t="shared" si="4"/>
        <v>33.9848</v>
      </c>
      <c r="W59" s="99">
        <v>42670</v>
      </c>
      <c r="X59" s="103">
        <v>35.1</v>
      </c>
      <c r="Y59" s="103">
        <v>35.229999999999997</v>
      </c>
      <c r="Z59" s="103">
        <v>34.75</v>
      </c>
      <c r="AA59" s="103">
        <v>34.81</v>
      </c>
      <c r="AB59" s="101">
        <v>14634700</v>
      </c>
      <c r="AC59" s="100">
        <v>34.81</v>
      </c>
      <c r="AD59" s="2">
        <f t="shared" si="0"/>
        <v>0.47999999999999687</v>
      </c>
      <c r="AE59" s="138">
        <f t="shared" si="1"/>
        <v>-3.1500572737686028E-3</v>
      </c>
    </row>
    <row r="60" spans="1:31" x14ac:dyDescent="0.25">
      <c r="O60" s="83">
        <v>0.91</v>
      </c>
      <c r="P60" s="83">
        <f t="shared" si="4"/>
        <v>33.615400000000001</v>
      </c>
      <c r="W60" s="99">
        <v>42669</v>
      </c>
      <c r="X60" s="103">
        <v>35.04</v>
      </c>
      <c r="Y60" s="103">
        <v>35.21</v>
      </c>
      <c r="Z60" s="103">
        <v>34.74</v>
      </c>
      <c r="AA60" s="103">
        <v>34.92</v>
      </c>
      <c r="AB60" s="101">
        <v>19977600</v>
      </c>
      <c r="AC60" s="100">
        <v>34.92</v>
      </c>
      <c r="AD60" s="2">
        <f t="shared" si="0"/>
        <v>0.46999999999999886</v>
      </c>
      <c r="AE60" s="138">
        <f t="shared" si="1"/>
        <v>-5.12820512820511E-3</v>
      </c>
    </row>
    <row r="61" spans="1:31" x14ac:dyDescent="0.25">
      <c r="O61" s="83">
        <v>0.9</v>
      </c>
      <c r="P61" s="83">
        <f t="shared" si="4"/>
        <v>33.246000000000002</v>
      </c>
      <c r="W61" s="99">
        <v>42668</v>
      </c>
      <c r="X61" s="103">
        <v>35.14</v>
      </c>
      <c r="Y61" s="103">
        <v>35.25</v>
      </c>
      <c r="Z61" s="103">
        <v>35.01</v>
      </c>
      <c r="AA61" s="103">
        <v>35.1</v>
      </c>
      <c r="AB61" s="101">
        <v>17860300</v>
      </c>
      <c r="AC61" s="100">
        <v>35.1</v>
      </c>
      <c r="AD61" s="2">
        <f t="shared" si="0"/>
        <v>0.24000000000000199</v>
      </c>
      <c r="AE61" s="138">
        <f t="shared" si="1"/>
        <v>-4.5377197958025306E-3</v>
      </c>
    </row>
    <row r="62" spans="1:31" x14ac:dyDescent="0.25">
      <c r="W62" s="99">
        <v>42667</v>
      </c>
      <c r="X62" s="103">
        <v>35.43</v>
      </c>
      <c r="Y62" s="103">
        <v>35.49</v>
      </c>
      <c r="Z62" s="103">
        <v>35.11</v>
      </c>
      <c r="AA62" s="103">
        <v>35.26</v>
      </c>
      <c r="AB62" s="101">
        <v>21524700</v>
      </c>
      <c r="AC62" s="100">
        <v>35.26</v>
      </c>
      <c r="AD62" s="2">
        <f t="shared" si="0"/>
        <v>0.38000000000000256</v>
      </c>
      <c r="AE62" s="138">
        <f t="shared" si="1"/>
        <v>3.1294452347083723E-3</v>
      </c>
    </row>
    <row r="63" spans="1:31" x14ac:dyDescent="0.25">
      <c r="W63" s="99">
        <v>42664</v>
      </c>
      <c r="X63" s="103">
        <v>35.21</v>
      </c>
      <c r="Y63" s="103">
        <v>35.4</v>
      </c>
      <c r="Z63" s="103">
        <v>34.81</v>
      </c>
      <c r="AA63" s="103">
        <v>35.15</v>
      </c>
      <c r="AB63" s="101">
        <v>20813200</v>
      </c>
      <c r="AC63" s="100">
        <v>35.15</v>
      </c>
      <c r="AD63" s="2">
        <f t="shared" si="0"/>
        <v>0.58999999999999631</v>
      </c>
      <c r="AE63" s="138">
        <f t="shared" si="1"/>
        <v>-7.9029071408410756E-3</v>
      </c>
    </row>
    <row r="64" spans="1:31" x14ac:dyDescent="0.25">
      <c r="W64" s="99">
        <v>42663</v>
      </c>
      <c r="X64" s="103">
        <v>35.409999999999997</v>
      </c>
      <c r="Y64" s="103">
        <v>35.67</v>
      </c>
      <c r="Z64" s="103">
        <v>35.1</v>
      </c>
      <c r="AA64" s="103">
        <v>35.43</v>
      </c>
      <c r="AB64" s="101">
        <v>25669500</v>
      </c>
      <c r="AC64" s="100">
        <v>35.43</v>
      </c>
      <c r="AD64" s="2">
        <f t="shared" si="0"/>
        <v>0.57000000000000028</v>
      </c>
      <c r="AE64" s="138">
        <f t="shared" si="1"/>
        <v>-2.2528865108419893E-3</v>
      </c>
    </row>
    <row r="65" spans="23:31" x14ac:dyDescent="0.25">
      <c r="W65" s="99">
        <v>42662</v>
      </c>
      <c r="X65" s="103">
        <v>36.07</v>
      </c>
      <c r="Y65" s="103">
        <v>36.090000000000003</v>
      </c>
      <c r="Z65" s="103">
        <v>35.229999999999997</v>
      </c>
      <c r="AA65" s="103">
        <v>35.51</v>
      </c>
      <c r="AB65" s="101">
        <v>75229000</v>
      </c>
      <c r="AC65" s="100">
        <v>35.51</v>
      </c>
      <c r="AD65" s="2">
        <f t="shared" si="0"/>
        <v>0.86000000000000654</v>
      </c>
      <c r="AE65" s="138">
        <f t="shared" si="1"/>
        <v>-5.9337748344370889E-2</v>
      </c>
    </row>
    <row r="66" spans="23:31" x14ac:dyDescent="0.25">
      <c r="W66" s="99">
        <v>42661</v>
      </c>
      <c r="X66" s="103">
        <v>37.97</v>
      </c>
      <c r="Y66" s="103">
        <v>38.049999999999997</v>
      </c>
      <c r="Z66" s="103">
        <v>37.53</v>
      </c>
      <c r="AA66" s="103">
        <v>37.75</v>
      </c>
      <c r="AB66" s="101">
        <v>42907800</v>
      </c>
      <c r="AC66" s="100">
        <v>37.75</v>
      </c>
      <c r="AD66" s="2">
        <f t="shared" si="0"/>
        <v>0.51999999999999602</v>
      </c>
      <c r="AE66" s="138">
        <f t="shared" si="1"/>
        <v>1.2335746849021278E-2</v>
      </c>
    </row>
    <row r="67" spans="23:31" x14ac:dyDescent="0.25">
      <c r="W67" s="99">
        <v>42660</v>
      </c>
      <c r="X67" s="103">
        <v>37.549999999999997</v>
      </c>
      <c r="Y67" s="103">
        <v>37.72</v>
      </c>
      <c r="Z67" s="103">
        <v>37.24</v>
      </c>
      <c r="AA67" s="103">
        <v>37.29</v>
      </c>
      <c r="AB67" s="101">
        <v>15788100</v>
      </c>
      <c r="AC67" s="100">
        <v>37.29</v>
      </c>
      <c r="AD67" s="2">
        <f>Y67-Z67</f>
        <v>0.47999999999999687</v>
      </c>
      <c r="AE67" s="138" t="e">
        <f>AC67/#REF!-1</f>
        <v>#REF!</v>
      </c>
    </row>
    <row r="68" spans="23:31" x14ac:dyDescent="0.25">
      <c r="W68" s="99" t="s">
        <v>121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5" priority="7">
      <formula>F21&gt;0</formula>
    </cfRule>
    <cfRule type="expression" dxfId="524" priority="8">
      <formula>F21&lt;0</formula>
    </cfRule>
  </conditionalFormatting>
  <conditionalFormatting sqref="F22">
    <cfRule type="expression" dxfId="523" priority="5">
      <formula>F22&gt;0</formula>
    </cfRule>
    <cfRule type="expression" dxfId="522" priority="6">
      <formula>F22&lt;0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42755</v>
      </c>
      <c r="X2" s="41">
        <v>58.71</v>
      </c>
      <c r="Y2" s="41">
        <v>59.08</v>
      </c>
      <c r="Z2" s="41">
        <v>57.54</v>
      </c>
      <c r="AA2" s="41">
        <v>57.98</v>
      </c>
      <c r="AB2" s="104">
        <v>3192300</v>
      </c>
      <c r="AC2" s="41">
        <v>57.98</v>
      </c>
      <c r="AD2" s="2">
        <f>Y2-Z2</f>
        <v>1.5399999999999991</v>
      </c>
      <c r="AE2" s="138">
        <f>AC2/AC3-1</f>
        <v>4.5045045045044585E-3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57.98</v>
      </c>
      <c r="W3" s="110">
        <v>42754</v>
      </c>
      <c r="X3" s="41">
        <v>58.5</v>
      </c>
      <c r="Y3" s="41">
        <v>58.97</v>
      </c>
      <c r="Z3" s="41">
        <v>57.65</v>
      </c>
      <c r="AA3" s="41">
        <v>57.72</v>
      </c>
      <c r="AB3" s="104">
        <v>3166300</v>
      </c>
      <c r="AC3" s="41">
        <v>57.72</v>
      </c>
      <c r="AD3" s="2">
        <f t="shared" ref="AD3:AD66" si="0">Y3-Z3</f>
        <v>1.3200000000000003</v>
      </c>
      <c r="AE3" s="138">
        <f t="shared" ref="AE3:AE66" si="1">AC3/AC4-1</f>
        <v>-1.8867924528301883E-2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57.98</v>
      </c>
      <c r="R4" s="505">
        <v>4.4999999999999997E-3</v>
      </c>
      <c r="T4" s="124"/>
      <c r="U4" s="30"/>
      <c r="V4" s="35"/>
      <c r="W4" s="110">
        <v>42753</v>
      </c>
      <c r="X4" s="41">
        <v>58.69</v>
      </c>
      <c r="Y4" s="41">
        <v>59.42</v>
      </c>
      <c r="Z4" s="41">
        <v>58.39</v>
      </c>
      <c r="AA4" s="41">
        <v>58.83</v>
      </c>
      <c r="AB4" s="104">
        <v>2599500</v>
      </c>
      <c r="AC4" s="41">
        <v>58.83</v>
      </c>
      <c r="AD4" s="2">
        <f t="shared" si="0"/>
        <v>1.0300000000000011</v>
      </c>
      <c r="AE4" s="138">
        <f t="shared" si="1"/>
        <v>-7.9258010118044009E-3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42752</v>
      </c>
      <c r="X5" s="41">
        <v>59.27</v>
      </c>
      <c r="Y5" s="41">
        <v>60.13</v>
      </c>
      <c r="Z5" s="41">
        <v>58.41</v>
      </c>
      <c r="AA5" s="41">
        <v>59.3</v>
      </c>
      <c r="AB5" s="104">
        <v>5680700</v>
      </c>
      <c r="AC5" s="41">
        <v>59.3</v>
      </c>
      <c r="AD5" s="2">
        <f t="shared" si="0"/>
        <v>1.720000000000006</v>
      </c>
      <c r="AE5" s="138">
        <f t="shared" si="1"/>
        <v>6.962132789947395E-3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42748</v>
      </c>
      <c r="X6" s="41">
        <v>58.4</v>
      </c>
      <c r="Y6" s="41">
        <v>59.87</v>
      </c>
      <c r="Z6" s="41">
        <v>58.25</v>
      </c>
      <c r="AA6" s="41">
        <v>58.89</v>
      </c>
      <c r="AB6" s="104">
        <v>13244300</v>
      </c>
      <c r="AC6" s="41">
        <v>58.89</v>
      </c>
      <c r="AD6" s="2">
        <f t="shared" si="0"/>
        <v>1.6199999999999974</v>
      </c>
      <c r="AE6" s="138">
        <f t="shared" si="1"/>
        <v>6.7969413763813158E-4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42747</v>
      </c>
      <c r="X7" s="41">
        <v>59.86</v>
      </c>
      <c r="Y7" s="41">
        <v>59.99</v>
      </c>
      <c r="Z7" s="41">
        <v>56.65</v>
      </c>
      <c r="AA7" s="41">
        <v>58.85</v>
      </c>
      <c r="AB7" s="104">
        <v>16722800</v>
      </c>
      <c r="AC7" s="41">
        <v>58.85</v>
      </c>
      <c r="AD7" s="2">
        <f t="shared" si="0"/>
        <v>3.3400000000000034</v>
      </c>
      <c r="AE7" s="138">
        <f t="shared" si="1"/>
        <v>-4.8350582147477339E-2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42746</v>
      </c>
      <c r="X8" s="41">
        <v>61.75</v>
      </c>
      <c r="Y8" s="41">
        <v>62.24</v>
      </c>
      <c r="Z8" s="41">
        <v>60.79</v>
      </c>
      <c r="AA8" s="41">
        <v>61.84</v>
      </c>
      <c r="AB8" s="104">
        <v>2052100</v>
      </c>
      <c r="AC8" s="41">
        <v>61.84</v>
      </c>
      <c r="AD8" s="2">
        <f t="shared" si="0"/>
        <v>1.4500000000000028</v>
      </c>
      <c r="AE8" s="138">
        <f t="shared" si="1"/>
        <v>6.3466232709519232E-3</v>
      </c>
    </row>
    <row r="9" spans="1:40" x14ac:dyDescent="0.25">
      <c r="O9" s="11" t="s">
        <v>215</v>
      </c>
      <c r="Q9" s="138">
        <f>IF(Q2=0, 0, Q8/Q6)</f>
        <v>0</v>
      </c>
      <c r="W9" s="110">
        <v>42745</v>
      </c>
      <c r="X9" s="41">
        <v>60.82</v>
      </c>
      <c r="Y9" s="41">
        <v>62</v>
      </c>
      <c r="Z9" s="41">
        <v>60.5</v>
      </c>
      <c r="AA9" s="41">
        <v>61.45</v>
      </c>
      <c r="AB9" s="104">
        <v>2238100</v>
      </c>
      <c r="AC9" s="41">
        <v>61.45</v>
      </c>
      <c r="AD9" s="2">
        <f t="shared" si="0"/>
        <v>1.5</v>
      </c>
      <c r="AE9" s="138">
        <f t="shared" si="1"/>
        <v>1.3859099158554766E-2</v>
      </c>
    </row>
    <row r="10" spans="1:40" x14ac:dyDescent="0.25">
      <c r="O10" s="11" t="s">
        <v>214</v>
      </c>
      <c r="P10" s="34"/>
      <c r="Q10" s="2">
        <f>M75</f>
        <v>3178.8000000000466</v>
      </c>
      <c r="W10" s="110">
        <v>42744</v>
      </c>
      <c r="X10" s="41">
        <v>61.33</v>
      </c>
      <c r="Y10" s="41">
        <v>61.58</v>
      </c>
      <c r="Z10" s="41">
        <v>60.57</v>
      </c>
      <c r="AA10" s="41">
        <v>60.61</v>
      </c>
      <c r="AB10" s="104">
        <v>2456700</v>
      </c>
      <c r="AC10" s="41">
        <v>60.61</v>
      </c>
      <c r="AD10" s="2">
        <f t="shared" si="0"/>
        <v>1.009999999999998</v>
      </c>
      <c r="AE10" s="138">
        <f t="shared" si="1"/>
        <v>-2.084006462035537E-2</v>
      </c>
    </row>
    <row r="11" spans="1:40" x14ac:dyDescent="0.25">
      <c r="O11" s="11" t="s">
        <v>179</v>
      </c>
      <c r="P11" s="34"/>
      <c r="Q11" s="138">
        <f>VALUE(TRIM(CLEAN(MID(U58, FIND("(", U58)+1, 5))))</f>
        <v>1.7000000000000001E-2</v>
      </c>
      <c r="T11" s="19"/>
      <c r="W11" s="110">
        <v>42741</v>
      </c>
      <c r="X11" s="41">
        <v>62.21</v>
      </c>
      <c r="Y11" s="41">
        <v>62.4</v>
      </c>
      <c r="Z11" s="41">
        <v>61.7</v>
      </c>
      <c r="AA11" s="41">
        <v>61.9</v>
      </c>
      <c r="AB11" s="104">
        <v>1973900</v>
      </c>
      <c r="AC11" s="41">
        <v>61.9</v>
      </c>
      <c r="AD11" s="2">
        <f t="shared" si="0"/>
        <v>0.69999999999999574</v>
      </c>
      <c r="AE11" s="138">
        <f t="shared" si="1"/>
        <v>-3.2206119162641045E-3</v>
      </c>
    </row>
    <row r="12" spans="1:40" x14ac:dyDescent="0.25">
      <c r="T12" s="19"/>
      <c r="W12" s="110">
        <v>42740</v>
      </c>
      <c r="X12" s="41">
        <v>62.11</v>
      </c>
      <c r="Y12" s="41">
        <v>62.47</v>
      </c>
      <c r="Z12" s="41">
        <v>60.94</v>
      </c>
      <c r="AA12" s="41">
        <v>62.1</v>
      </c>
      <c r="AB12" s="104">
        <v>3788200</v>
      </c>
      <c r="AC12" s="41">
        <v>62.1</v>
      </c>
      <c r="AD12" s="2">
        <f t="shared" si="0"/>
        <v>1.5300000000000011</v>
      </c>
      <c r="AE12" s="138">
        <f t="shared" si="1"/>
        <v>2.7450347166155797E-3</v>
      </c>
    </row>
    <row r="13" spans="1:40" x14ac:dyDescent="0.25">
      <c r="W13" s="110">
        <v>42739</v>
      </c>
      <c r="X13" s="41">
        <v>62.84</v>
      </c>
      <c r="Y13" s="41">
        <v>63.05</v>
      </c>
      <c r="Z13" s="41">
        <v>60.88</v>
      </c>
      <c r="AA13" s="41">
        <v>61.93</v>
      </c>
      <c r="AB13" s="104">
        <v>4988500</v>
      </c>
      <c r="AC13" s="41">
        <v>61.93</v>
      </c>
      <c r="AD13" s="2">
        <f t="shared" si="0"/>
        <v>2.1699999999999946</v>
      </c>
      <c r="AE13" s="138">
        <f t="shared" si="1"/>
        <v>-1.4167462591531343E-2</v>
      </c>
    </row>
    <row r="14" spans="1:40" x14ac:dyDescent="0.25">
      <c r="W14" s="110">
        <v>42738</v>
      </c>
      <c r="X14" s="41">
        <v>63.38</v>
      </c>
      <c r="Y14" s="41">
        <v>64.400000000000006</v>
      </c>
      <c r="Z14" s="41">
        <v>62.15</v>
      </c>
      <c r="AA14" s="41">
        <v>62.82</v>
      </c>
      <c r="AB14" s="104">
        <v>4515200</v>
      </c>
      <c r="AC14" s="41">
        <v>62.82</v>
      </c>
      <c r="AD14" s="2">
        <f t="shared" si="0"/>
        <v>2.2500000000000071</v>
      </c>
      <c r="AE14" s="138">
        <f t="shared" si="1"/>
        <v>8.5085888585647584E-3</v>
      </c>
    </row>
    <row r="15" spans="1:40" x14ac:dyDescent="0.25">
      <c r="W15" s="110">
        <v>42734</v>
      </c>
      <c r="X15" s="41">
        <v>62.9</v>
      </c>
      <c r="Y15" s="41">
        <v>63.28</v>
      </c>
      <c r="Z15" s="41">
        <v>62.07</v>
      </c>
      <c r="AA15" s="41">
        <v>62.29</v>
      </c>
      <c r="AB15" s="104">
        <v>1968300</v>
      </c>
      <c r="AC15" s="41">
        <v>62.29</v>
      </c>
      <c r="AD15" s="2">
        <f t="shared" si="0"/>
        <v>1.2100000000000009</v>
      </c>
      <c r="AE15" s="138">
        <f t="shared" si="1"/>
        <v>-9.6979332273450236E-3</v>
      </c>
    </row>
    <row r="16" spans="1:40" x14ac:dyDescent="0.25">
      <c r="W16" s="110">
        <v>42733</v>
      </c>
      <c r="X16" s="41">
        <v>63.61</v>
      </c>
      <c r="Y16" s="41">
        <v>63.75</v>
      </c>
      <c r="Z16" s="41">
        <v>62.42</v>
      </c>
      <c r="AA16" s="41">
        <v>62.9</v>
      </c>
      <c r="AB16" s="104">
        <v>1435800</v>
      </c>
      <c r="AC16" s="41">
        <v>62.9</v>
      </c>
      <c r="AD16" s="2">
        <f t="shared" si="0"/>
        <v>1.3299999999999983</v>
      </c>
      <c r="AE16" s="138">
        <f t="shared" si="1"/>
        <v>-9.1367359798361081E-3</v>
      </c>
    </row>
    <row r="17" spans="1:31" x14ac:dyDescent="0.25">
      <c r="C17" s="4"/>
      <c r="D17" s="240"/>
      <c r="E17" s="3"/>
      <c r="F17" s="3"/>
      <c r="W17" s="110">
        <v>42732</v>
      </c>
      <c r="X17" s="41">
        <v>64.45</v>
      </c>
      <c r="Y17" s="41">
        <v>64.91</v>
      </c>
      <c r="Z17" s="41">
        <v>63.28</v>
      </c>
      <c r="AA17" s="41">
        <v>63.48</v>
      </c>
      <c r="AB17" s="104">
        <v>1490300</v>
      </c>
      <c r="AC17" s="41">
        <v>63.48</v>
      </c>
      <c r="AD17" s="2">
        <f t="shared" si="0"/>
        <v>1.6299999999999955</v>
      </c>
      <c r="AE17" s="138">
        <f t="shared" si="1"/>
        <v>-1.4438751746623235E-2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42731</v>
      </c>
      <c r="X18" s="41">
        <v>64.14</v>
      </c>
      <c r="Y18" s="41">
        <v>64.849999999999994</v>
      </c>
      <c r="Z18" s="41">
        <v>63.66</v>
      </c>
      <c r="AA18" s="41">
        <v>64.41</v>
      </c>
      <c r="AB18" s="104">
        <v>1534000</v>
      </c>
      <c r="AC18" s="41">
        <v>64.41</v>
      </c>
      <c r="AD18" s="2">
        <f t="shared" si="0"/>
        <v>1.1899999999999977</v>
      </c>
      <c r="AE18" s="138">
        <f t="shared" si="1"/>
        <v>9.8777046095954724E-3</v>
      </c>
    </row>
    <row r="19" spans="1:31" x14ac:dyDescent="0.25">
      <c r="W19" s="110">
        <v>42727</v>
      </c>
      <c r="X19" s="41">
        <v>63.38</v>
      </c>
      <c r="Y19" s="41">
        <v>64.19</v>
      </c>
      <c r="Z19" s="41">
        <v>63.09</v>
      </c>
      <c r="AA19" s="41">
        <v>63.78</v>
      </c>
      <c r="AB19" s="104">
        <v>2235900</v>
      </c>
      <c r="AC19" s="41">
        <v>63.78</v>
      </c>
      <c r="AD19" s="2">
        <f t="shared" si="0"/>
        <v>1.0999999999999943</v>
      </c>
      <c r="AE19" s="138">
        <f t="shared" si="1"/>
        <v>1.0987286140322627E-3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42726</v>
      </c>
      <c r="X20" s="41">
        <v>63.58</v>
      </c>
      <c r="Y20" s="41">
        <v>63.77</v>
      </c>
      <c r="Z20" s="41">
        <v>62.88</v>
      </c>
      <c r="AA20" s="41">
        <v>63.71</v>
      </c>
      <c r="AB20" s="104">
        <v>1813500</v>
      </c>
      <c r="AC20" s="41">
        <v>63.71</v>
      </c>
      <c r="AD20" s="2">
        <f t="shared" si="0"/>
        <v>0.89000000000000057</v>
      </c>
      <c r="AE20" s="138">
        <f t="shared" si="1"/>
        <v>2.3599748269351739E-3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42725</v>
      </c>
      <c r="X21" s="41">
        <v>63.97</v>
      </c>
      <c r="Y21" s="41">
        <v>64.489999999999995</v>
      </c>
      <c r="Z21" s="41">
        <v>63.51</v>
      </c>
      <c r="AA21" s="41">
        <v>63.56</v>
      </c>
      <c r="AB21" s="104">
        <v>2246500</v>
      </c>
      <c r="AC21" s="41">
        <v>63.56</v>
      </c>
      <c r="AD21" s="2">
        <f t="shared" si="0"/>
        <v>0.97999999999999687</v>
      </c>
      <c r="AE21" s="138">
        <f t="shared" si="1"/>
        <v>2.6818110112005744E-3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42724</v>
      </c>
      <c r="X22" s="41">
        <v>63.63</v>
      </c>
      <c r="Y22" s="41">
        <v>64.39</v>
      </c>
      <c r="Z22" s="41">
        <v>63.12</v>
      </c>
      <c r="AA22" s="41">
        <v>63.39</v>
      </c>
      <c r="AB22" s="104">
        <v>2434300</v>
      </c>
      <c r="AC22" s="41">
        <v>63.39</v>
      </c>
      <c r="AD22" s="2">
        <f t="shared" si="0"/>
        <v>1.2700000000000031</v>
      </c>
      <c r="AE22" s="138">
        <f t="shared" si="1"/>
        <v>3.156067539846763E-4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42723</v>
      </c>
      <c r="X23" s="41">
        <v>62.25</v>
      </c>
      <c r="Y23" s="41">
        <v>63.66</v>
      </c>
      <c r="Z23" s="41">
        <v>61.61</v>
      </c>
      <c r="AA23" s="41">
        <v>63.37</v>
      </c>
      <c r="AB23" s="104">
        <v>2864100</v>
      </c>
      <c r="AC23" s="41">
        <v>63.37</v>
      </c>
      <c r="AD23" s="2">
        <f t="shared" si="0"/>
        <v>2.0499999999999972</v>
      </c>
      <c r="AE23" s="138">
        <f t="shared" si="1"/>
        <v>1.3919999999999932E-2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42720</v>
      </c>
      <c r="X24" s="41">
        <v>62.98</v>
      </c>
      <c r="Y24" s="41">
        <v>63.11</v>
      </c>
      <c r="Z24" s="41">
        <v>62.05</v>
      </c>
      <c r="AA24" s="41">
        <v>62.5</v>
      </c>
      <c r="AB24" s="104">
        <v>3908400</v>
      </c>
      <c r="AC24" s="41">
        <v>62.5</v>
      </c>
      <c r="AD24" s="2">
        <f t="shared" si="0"/>
        <v>1.0600000000000023</v>
      </c>
      <c r="AE24" s="138">
        <f t="shared" si="1"/>
        <v>-2.8717294192724951E-3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42719</v>
      </c>
      <c r="X25" s="41">
        <v>62.18</v>
      </c>
      <c r="Y25" s="41">
        <v>63.71</v>
      </c>
      <c r="Z25" s="41">
        <v>61.75</v>
      </c>
      <c r="AA25" s="41">
        <v>62.68</v>
      </c>
      <c r="AB25" s="104">
        <v>3641100</v>
      </c>
      <c r="AC25" s="41">
        <v>62.68</v>
      </c>
      <c r="AD25" s="2">
        <f t="shared" si="0"/>
        <v>1.9600000000000009</v>
      </c>
      <c r="AE25" s="138" t="e">
        <f t="shared" si="1"/>
        <v>#DIV/0!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42719</v>
      </c>
      <c r="X26" s="41" t="s">
        <v>125</v>
      </c>
      <c r="Y26" s="41"/>
      <c r="Z26" s="41"/>
      <c r="AA26" s="41"/>
      <c r="AB26" s="104"/>
      <c r="AC26" s="41"/>
      <c r="AD26" s="2">
        <f t="shared" si="0"/>
        <v>0</v>
      </c>
      <c r="AE26" s="138">
        <f t="shared" si="1"/>
        <v>-1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42718</v>
      </c>
      <c r="X27" s="41">
        <v>64.19</v>
      </c>
      <c r="Y27" s="41">
        <v>65.010000000000005</v>
      </c>
      <c r="Z27" s="41">
        <v>62.8</v>
      </c>
      <c r="AA27" s="41">
        <v>63.17</v>
      </c>
      <c r="AB27" s="104">
        <v>6065500</v>
      </c>
      <c r="AC27" s="41">
        <v>62.92</v>
      </c>
      <c r="AD27" s="2">
        <f t="shared" si="0"/>
        <v>2.210000000000008</v>
      </c>
      <c r="AE27" s="138">
        <f t="shared" si="1"/>
        <v>-3.0209617755856844E-2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42717</v>
      </c>
      <c r="X28" s="41">
        <v>63.53</v>
      </c>
      <c r="Y28" s="41">
        <v>65.56</v>
      </c>
      <c r="Z28" s="41">
        <v>62.78</v>
      </c>
      <c r="AA28" s="41">
        <v>65.14</v>
      </c>
      <c r="AB28" s="104">
        <v>6543000</v>
      </c>
      <c r="AC28" s="41">
        <v>64.88</v>
      </c>
      <c r="AD28" s="2">
        <f t="shared" si="0"/>
        <v>2.7800000000000011</v>
      </c>
      <c r="AE28" s="138">
        <f t="shared" si="1"/>
        <v>3.5594573024740672E-2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42716</v>
      </c>
      <c r="X29" s="41">
        <v>64.3</v>
      </c>
      <c r="Y29" s="41">
        <v>64.94</v>
      </c>
      <c r="Z29" s="41">
        <v>62.8</v>
      </c>
      <c r="AA29" s="41">
        <v>62.9</v>
      </c>
      <c r="AB29" s="104">
        <v>5285600</v>
      </c>
      <c r="AC29" s="41">
        <v>62.65</v>
      </c>
      <c r="AD29" s="2">
        <f t="shared" si="0"/>
        <v>2.1400000000000006</v>
      </c>
      <c r="AE29" s="138">
        <f t="shared" si="1"/>
        <v>2.2396416573349232E-3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42713</v>
      </c>
      <c r="X30" s="41">
        <v>61.88</v>
      </c>
      <c r="Y30" s="41">
        <v>62.78</v>
      </c>
      <c r="Z30" s="41">
        <v>61.4</v>
      </c>
      <c r="AA30" s="41">
        <v>62.76</v>
      </c>
      <c r="AB30" s="104">
        <v>4400200</v>
      </c>
      <c r="AC30" s="41">
        <v>62.51</v>
      </c>
      <c r="AD30" s="2">
        <f t="shared" si="0"/>
        <v>1.3800000000000026</v>
      </c>
      <c r="AE30" s="138">
        <f t="shared" si="1"/>
        <v>1.7580986488686223E-2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42712</v>
      </c>
      <c r="X31" s="197">
        <v>61.79</v>
      </c>
      <c r="Y31" s="41">
        <v>62</v>
      </c>
      <c r="Z31" s="41">
        <v>60.75</v>
      </c>
      <c r="AA31" s="41">
        <v>61.67</v>
      </c>
      <c r="AB31" s="104">
        <v>6004800</v>
      </c>
      <c r="AC31" s="41">
        <v>61.43</v>
      </c>
      <c r="AD31" s="2">
        <f t="shared" si="0"/>
        <v>1.25</v>
      </c>
      <c r="AE31" s="138">
        <f t="shared" si="1"/>
        <v>1.1859660681930562E-2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42711</v>
      </c>
      <c r="X32" s="41">
        <v>59.92</v>
      </c>
      <c r="Y32" s="41">
        <v>60.98</v>
      </c>
      <c r="Z32" s="41">
        <v>59.32</v>
      </c>
      <c r="AA32" s="41">
        <v>60.95</v>
      </c>
      <c r="AB32" s="104">
        <v>4707200</v>
      </c>
      <c r="AC32" s="41">
        <v>60.71</v>
      </c>
      <c r="AD32" s="2">
        <f t="shared" si="0"/>
        <v>1.6599999999999966</v>
      </c>
      <c r="AE32" s="138">
        <f t="shared" si="1"/>
        <v>1.9137149571932133E-2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42710</v>
      </c>
      <c r="X33" s="41">
        <v>58.36</v>
      </c>
      <c r="Y33" s="41">
        <v>60.6</v>
      </c>
      <c r="Z33" s="41">
        <v>57.83</v>
      </c>
      <c r="AA33" s="41">
        <v>59.81</v>
      </c>
      <c r="AB33" s="104">
        <v>4952900</v>
      </c>
      <c r="AC33" s="41">
        <v>59.57</v>
      </c>
      <c r="AD33" s="2">
        <f t="shared" si="0"/>
        <v>2.7700000000000031</v>
      </c>
      <c r="AE33" s="138">
        <f t="shared" si="1"/>
        <v>1.361238727241787E-2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42709</v>
      </c>
      <c r="X34" s="41">
        <v>59</v>
      </c>
      <c r="Y34" s="41">
        <v>60.5</v>
      </c>
      <c r="Z34" s="41">
        <v>58.65</v>
      </c>
      <c r="AA34" s="41">
        <v>59</v>
      </c>
      <c r="AB34" s="104">
        <v>7532700</v>
      </c>
      <c r="AC34" s="41">
        <v>58.77</v>
      </c>
      <c r="AD34" s="2">
        <f t="shared" si="0"/>
        <v>1.8500000000000014</v>
      </c>
      <c r="AE34" s="138">
        <f t="shared" si="1"/>
        <v>1.8720748829953227E-2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42706</v>
      </c>
      <c r="X35" s="41">
        <v>55.88</v>
      </c>
      <c r="Y35" s="41">
        <v>58.74</v>
      </c>
      <c r="Z35" s="41">
        <v>55.72</v>
      </c>
      <c r="AA35" s="41">
        <v>57.92</v>
      </c>
      <c r="AB35" s="104">
        <v>6113700</v>
      </c>
      <c r="AC35" s="41">
        <v>57.69</v>
      </c>
      <c r="AD35" s="2">
        <f t="shared" si="0"/>
        <v>3.0200000000000031</v>
      </c>
      <c r="AE35" s="138">
        <f t="shared" si="1"/>
        <v>3.2206119162640823E-2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42705</v>
      </c>
      <c r="X36" s="41">
        <v>57.79</v>
      </c>
      <c r="Y36" s="41">
        <v>57.9</v>
      </c>
      <c r="Z36" s="41">
        <v>55.72</v>
      </c>
      <c r="AA36" s="41">
        <v>56.11</v>
      </c>
      <c r="AB36" s="104">
        <v>5591300</v>
      </c>
      <c r="AC36" s="41">
        <v>55.89</v>
      </c>
      <c r="AD36" s="2">
        <f t="shared" si="0"/>
        <v>2.1799999999999997</v>
      </c>
      <c r="AE36" s="138">
        <f t="shared" si="1"/>
        <v>2.6910656620020568E-3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42704</v>
      </c>
      <c r="X37" s="41">
        <v>52.76</v>
      </c>
      <c r="Y37" s="41">
        <v>56.93</v>
      </c>
      <c r="Z37" s="41">
        <v>52.76</v>
      </c>
      <c r="AA37" s="41">
        <v>55.96</v>
      </c>
      <c r="AB37" s="104">
        <v>13801700</v>
      </c>
      <c r="AC37" s="41">
        <v>55.74</v>
      </c>
      <c r="AD37" s="2">
        <f t="shared" si="0"/>
        <v>4.1700000000000017</v>
      </c>
      <c r="AE37" s="138">
        <f t="shared" si="1"/>
        <v>0.1408104789193616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42703</v>
      </c>
      <c r="X38" s="41">
        <v>49.7</v>
      </c>
      <c r="Y38" s="41">
        <v>49.81</v>
      </c>
      <c r="Z38" s="41">
        <v>48.52</v>
      </c>
      <c r="AA38" s="41">
        <v>49.05</v>
      </c>
      <c r="AB38" s="104">
        <v>4830600</v>
      </c>
      <c r="AC38" s="41">
        <v>48.86</v>
      </c>
      <c r="AD38" s="2">
        <f t="shared" si="0"/>
        <v>1.2899999999999991</v>
      </c>
      <c r="AE38" s="138">
        <f t="shared" si="1"/>
        <v>-3.818897637795271E-2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42702</v>
      </c>
      <c r="X39" s="41">
        <v>53.11</v>
      </c>
      <c r="Y39" s="41">
        <v>53.39</v>
      </c>
      <c r="Z39" s="41">
        <v>50.86</v>
      </c>
      <c r="AA39" s="41">
        <v>51</v>
      </c>
      <c r="AB39" s="104">
        <v>3115300</v>
      </c>
      <c r="AC39" s="41">
        <v>50.8</v>
      </c>
      <c r="AD39" s="2">
        <f t="shared" si="0"/>
        <v>2.5300000000000011</v>
      </c>
      <c r="AE39" s="138">
        <f t="shared" si="1"/>
        <v>-3.2749428789032864E-2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42699</v>
      </c>
      <c r="X40" s="41">
        <v>52.62</v>
      </c>
      <c r="Y40" s="41">
        <v>52.91</v>
      </c>
      <c r="Z40" s="41">
        <v>52.11</v>
      </c>
      <c r="AA40" s="41">
        <v>52.73</v>
      </c>
      <c r="AB40" s="104">
        <v>947400</v>
      </c>
      <c r="AC40" s="41">
        <v>52.52</v>
      </c>
      <c r="AD40" s="2">
        <f t="shared" si="0"/>
        <v>0.79999999999999716</v>
      </c>
      <c r="AE40" s="138">
        <f t="shared" si="1"/>
        <v>-8.8695980373655336E-3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42697</v>
      </c>
      <c r="X41" s="41">
        <v>51.97</v>
      </c>
      <c r="Y41" s="41">
        <v>53.54</v>
      </c>
      <c r="Z41" s="41">
        <v>51.6</v>
      </c>
      <c r="AA41" s="41">
        <v>53.2</v>
      </c>
      <c r="AB41" s="104">
        <v>2348000</v>
      </c>
      <c r="AC41" s="41">
        <v>52.99</v>
      </c>
      <c r="AD41" s="2">
        <f t="shared" si="0"/>
        <v>1.9399999999999977</v>
      </c>
      <c r="AE41" s="138">
        <f t="shared" si="1"/>
        <v>1.1066590345353955E-2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42696</v>
      </c>
      <c r="X42" s="41">
        <v>53.35</v>
      </c>
      <c r="Y42" s="41">
        <v>53.94</v>
      </c>
      <c r="Z42" s="41">
        <v>51.34</v>
      </c>
      <c r="AA42" s="41">
        <v>52.62</v>
      </c>
      <c r="AB42" s="104">
        <v>2654400</v>
      </c>
      <c r="AC42" s="41">
        <v>52.41</v>
      </c>
      <c r="AD42" s="2">
        <f t="shared" si="0"/>
        <v>2.5999999999999943</v>
      </c>
      <c r="AE42" s="138">
        <f t="shared" si="1"/>
        <v>-3.6121673003802757E-3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57.72</v>
      </c>
      <c r="W43" s="110">
        <v>42695</v>
      </c>
      <c r="X43" s="41">
        <v>52.5</v>
      </c>
      <c r="Y43" s="41">
        <v>53.9</v>
      </c>
      <c r="Z43" s="41">
        <v>52.18</v>
      </c>
      <c r="AA43" s="41">
        <v>52.81</v>
      </c>
      <c r="AB43" s="104">
        <v>3832900</v>
      </c>
      <c r="AC43" s="41">
        <v>52.6</v>
      </c>
      <c r="AD43" s="2">
        <f t="shared" si="0"/>
        <v>1.7199999999999989</v>
      </c>
      <c r="AE43" s="138">
        <f t="shared" si="1"/>
        <v>3.6044908410478582E-2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2" t="s">
        <v>78</v>
      </c>
      <c r="P44" s="632"/>
      <c r="T44" s="108" t="s">
        <v>99</v>
      </c>
      <c r="U44" s="106">
        <v>58.71</v>
      </c>
      <c r="W44" s="110">
        <v>42692</v>
      </c>
      <c r="X44" s="41">
        <v>50.59</v>
      </c>
      <c r="Y44" s="41">
        <v>52.39</v>
      </c>
      <c r="Z44" s="41">
        <v>50.59</v>
      </c>
      <c r="AA44" s="41">
        <v>50.97</v>
      </c>
      <c r="AB44" s="104">
        <v>5421700</v>
      </c>
      <c r="AC44" s="41">
        <v>50.77</v>
      </c>
      <c r="AD44" s="2">
        <f t="shared" si="0"/>
        <v>1.7999999999999972</v>
      </c>
      <c r="AE44" s="138">
        <f t="shared" si="1"/>
        <v>9.3439363817098275E-3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63.777999999999999</v>
      </c>
      <c r="R45" s="34"/>
      <c r="T45" s="108" t="s">
        <v>100</v>
      </c>
      <c r="U45" s="106" t="s">
        <v>129</v>
      </c>
      <c r="W45" s="110">
        <v>42691</v>
      </c>
      <c r="X45" s="41">
        <v>51.53</v>
      </c>
      <c r="Y45" s="41">
        <v>52.25</v>
      </c>
      <c r="Z45" s="41">
        <v>50.38</v>
      </c>
      <c r="AA45" s="41">
        <v>50.5</v>
      </c>
      <c r="AB45" s="104">
        <v>3544400</v>
      </c>
      <c r="AC45" s="41">
        <v>50.3</v>
      </c>
      <c r="AD45" s="2">
        <f t="shared" si="0"/>
        <v>1.8699999999999974</v>
      </c>
      <c r="AE45" s="138">
        <f t="shared" si="1"/>
        <v>-6.3216120110628493E-3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63.1982</v>
      </c>
      <c r="Q46" s="2"/>
      <c r="R46" s="34"/>
      <c r="T46" s="108" t="s">
        <v>101</v>
      </c>
      <c r="U46" s="106" t="s">
        <v>129</v>
      </c>
      <c r="W46" s="110">
        <v>42690</v>
      </c>
      <c r="X46" s="41">
        <v>50.33</v>
      </c>
      <c r="Y46" s="41">
        <v>51.39</v>
      </c>
      <c r="Z46" s="41">
        <v>49.71</v>
      </c>
      <c r="AA46" s="41">
        <v>50.82</v>
      </c>
      <c r="AB46" s="104">
        <v>3351400</v>
      </c>
      <c r="AC46" s="41">
        <v>50.62</v>
      </c>
      <c r="AD46" s="2">
        <f t="shared" si="0"/>
        <v>1.6799999999999997</v>
      </c>
      <c r="AE46" s="138">
        <f t="shared" si="1"/>
        <v>4.5643976979559131E-3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62.618400000000001</v>
      </c>
      <c r="Q47" s="2"/>
      <c r="R47" s="34"/>
      <c r="T47" s="108" t="s">
        <v>102</v>
      </c>
      <c r="U47" s="106">
        <v>65.75</v>
      </c>
      <c r="W47" s="110">
        <v>42689</v>
      </c>
      <c r="X47" s="41">
        <v>48.73</v>
      </c>
      <c r="Y47" s="41">
        <v>50.78</v>
      </c>
      <c r="Z47" s="41">
        <v>48.68</v>
      </c>
      <c r="AA47" s="41">
        <v>50.59</v>
      </c>
      <c r="AB47" s="104">
        <v>6937000</v>
      </c>
      <c r="AC47" s="41">
        <v>50.39</v>
      </c>
      <c r="AD47" s="2">
        <f t="shared" si="0"/>
        <v>2.1000000000000014</v>
      </c>
      <c r="AE47" s="138">
        <f t="shared" si="1"/>
        <v>5.2422723475354926E-2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62.038600000000002</v>
      </c>
      <c r="Q48" s="2"/>
      <c r="R48" s="34"/>
      <c r="T48" s="108" t="s">
        <v>103</v>
      </c>
      <c r="U48" s="106">
        <v>1.70411</v>
      </c>
      <c r="W48" s="110">
        <v>42688</v>
      </c>
      <c r="X48" s="41">
        <v>47.13</v>
      </c>
      <c r="Y48" s="41">
        <v>48.26</v>
      </c>
      <c r="Z48" s="41">
        <v>46.61</v>
      </c>
      <c r="AA48" s="41">
        <v>48.07</v>
      </c>
      <c r="AB48" s="104">
        <v>6876600</v>
      </c>
      <c r="AC48" s="41">
        <v>47.88</v>
      </c>
      <c r="AD48" s="2">
        <f t="shared" si="0"/>
        <v>1.6499999999999986</v>
      </c>
      <c r="AE48" s="138">
        <f t="shared" si="1"/>
        <v>1.0339734121122657E-2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61.458799999999997</v>
      </c>
      <c r="Q49" s="2"/>
      <c r="R49" s="34"/>
      <c r="T49" s="108" t="s">
        <v>104</v>
      </c>
      <c r="U49" s="106" t="s">
        <v>420</v>
      </c>
      <c r="W49" s="110">
        <v>42685</v>
      </c>
      <c r="X49" s="41">
        <v>48.95</v>
      </c>
      <c r="Y49" s="41">
        <v>49.22</v>
      </c>
      <c r="Z49" s="41">
        <v>47.54</v>
      </c>
      <c r="AA49" s="41">
        <v>47.58</v>
      </c>
      <c r="AB49" s="104">
        <v>3538200</v>
      </c>
      <c r="AC49" s="41">
        <v>47.39</v>
      </c>
      <c r="AD49" s="2">
        <f t="shared" si="0"/>
        <v>1.6799999999999997</v>
      </c>
      <c r="AE49" s="138">
        <f t="shared" si="1"/>
        <v>-4.1464401294498354E-2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60.878999999999998</v>
      </c>
      <c r="Q50" s="2"/>
      <c r="R50" s="34"/>
      <c r="T50" s="108"/>
      <c r="U50" s="106"/>
      <c r="W50" s="110">
        <v>42684</v>
      </c>
      <c r="X50" s="41">
        <v>48.65</v>
      </c>
      <c r="Y50" s="41">
        <v>50.34</v>
      </c>
      <c r="Z50" s="41">
        <v>48.57</v>
      </c>
      <c r="AA50" s="41">
        <v>49.64</v>
      </c>
      <c r="AB50" s="104">
        <v>3148100</v>
      </c>
      <c r="AC50" s="41">
        <v>49.44</v>
      </c>
      <c r="AD50" s="2">
        <f t="shared" si="0"/>
        <v>1.7700000000000031</v>
      </c>
      <c r="AE50" s="138">
        <f t="shared" si="1"/>
        <v>1.2907191149354569E-2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60.299199999999999</v>
      </c>
      <c r="Q51" s="2"/>
      <c r="R51" s="34"/>
      <c r="T51" s="108" t="s">
        <v>105</v>
      </c>
      <c r="U51" s="106" t="s">
        <v>533</v>
      </c>
      <c r="W51" s="110">
        <v>42683</v>
      </c>
      <c r="X51" s="41">
        <v>47.61</v>
      </c>
      <c r="Y51" s="41">
        <v>49.66</v>
      </c>
      <c r="Z51" s="41">
        <v>47.54</v>
      </c>
      <c r="AA51" s="41">
        <v>49</v>
      </c>
      <c r="AB51" s="104">
        <v>4343300</v>
      </c>
      <c r="AC51" s="41">
        <v>48.81</v>
      </c>
      <c r="AD51" s="2">
        <f t="shared" si="0"/>
        <v>2.1199999999999974</v>
      </c>
      <c r="AE51" s="138">
        <f t="shared" si="1"/>
        <v>2.64984227129339E-2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59.7194</v>
      </c>
      <c r="Q52" s="2"/>
      <c r="R52" s="34"/>
      <c r="T52" s="108" t="s">
        <v>106</v>
      </c>
      <c r="U52" s="106" t="s">
        <v>445</v>
      </c>
      <c r="W52" s="110">
        <v>42682</v>
      </c>
      <c r="X52" s="41">
        <v>46.88</v>
      </c>
      <c r="Y52" s="41">
        <v>48.05</v>
      </c>
      <c r="Z52" s="41">
        <v>46.8</v>
      </c>
      <c r="AA52" s="41">
        <v>47.74</v>
      </c>
      <c r="AB52" s="104">
        <v>2888700</v>
      </c>
      <c r="AC52" s="41">
        <v>47.55</v>
      </c>
      <c r="AD52" s="2">
        <f t="shared" si="0"/>
        <v>1.25</v>
      </c>
      <c r="AE52" s="138">
        <f t="shared" si="1"/>
        <v>6.3492063492063266E-3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59.139599999999994</v>
      </c>
      <c r="Q53" s="2"/>
      <c r="R53" s="34"/>
      <c r="T53" s="108" t="s">
        <v>107</v>
      </c>
      <c r="U53" s="107">
        <v>3215498</v>
      </c>
      <c r="W53" s="110">
        <v>42681</v>
      </c>
      <c r="X53" s="41">
        <v>47.52</v>
      </c>
      <c r="Y53" s="41">
        <v>47.77</v>
      </c>
      <c r="Z53" s="41">
        <v>46.91</v>
      </c>
      <c r="AA53" s="41">
        <v>47.44</v>
      </c>
      <c r="AB53" s="104">
        <v>3424600</v>
      </c>
      <c r="AC53" s="41">
        <v>47.25</v>
      </c>
      <c r="AD53" s="2">
        <f t="shared" si="0"/>
        <v>0.86000000000000654</v>
      </c>
      <c r="AE53" s="138">
        <f t="shared" si="1"/>
        <v>2.1842560553633206E-2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58.559799999999996</v>
      </c>
      <c r="Q54" s="2"/>
      <c r="R54" s="34"/>
      <c r="T54" s="108" t="s">
        <v>110</v>
      </c>
      <c r="U54" s="107">
        <v>4405890</v>
      </c>
      <c r="W54" s="110">
        <v>42678</v>
      </c>
      <c r="X54" s="41">
        <v>46.91</v>
      </c>
      <c r="Y54" s="41">
        <v>47.53</v>
      </c>
      <c r="Z54" s="41">
        <v>46.26</v>
      </c>
      <c r="AA54" s="41">
        <v>46.42</v>
      </c>
      <c r="AB54" s="104">
        <v>3591500</v>
      </c>
      <c r="AC54" s="41">
        <v>46.24</v>
      </c>
      <c r="AD54" s="2">
        <f t="shared" si="0"/>
        <v>1.2700000000000031</v>
      </c>
      <c r="AE54" s="138">
        <f t="shared" si="1"/>
        <v>-1.407249466950955E-2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57.98</v>
      </c>
      <c r="Q55" s="2"/>
      <c r="R55" s="34"/>
      <c r="T55" s="108" t="s">
        <v>108</v>
      </c>
      <c r="U55" s="106" t="s">
        <v>534</v>
      </c>
      <c r="W55" s="110">
        <v>42677</v>
      </c>
      <c r="X55" s="41">
        <v>47.51</v>
      </c>
      <c r="Y55" s="41">
        <v>48.35</v>
      </c>
      <c r="Z55" s="41">
        <v>46.88</v>
      </c>
      <c r="AA55" s="41">
        <v>47.09</v>
      </c>
      <c r="AB55" s="104">
        <v>2554800</v>
      </c>
      <c r="AC55" s="41">
        <v>46.9</v>
      </c>
      <c r="AD55" s="2">
        <f t="shared" si="0"/>
        <v>1.4699999999999989</v>
      </c>
      <c r="AE55" s="138">
        <f t="shared" si="1"/>
        <v>0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57.400199999999998</v>
      </c>
      <c r="Q56" s="2"/>
      <c r="R56" s="34"/>
      <c r="T56" s="108" t="s">
        <v>111</v>
      </c>
      <c r="U56" s="106" t="s">
        <v>129</v>
      </c>
      <c r="W56" s="110">
        <v>42676</v>
      </c>
      <c r="X56" s="41">
        <v>47.01</v>
      </c>
      <c r="Y56" s="41">
        <v>47.45</v>
      </c>
      <c r="Z56" s="41">
        <v>46.06</v>
      </c>
      <c r="AA56" s="41">
        <v>47.09</v>
      </c>
      <c r="AB56" s="104">
        <v>4800700</v>
      </c>
      <c r="AC56" s="41">
        <v>46.9</v>
      </c>
      <c r="AD56" s="2">
        <f t="shared" si="0"/>
        <v>1.3900000000000006</v>
      </c>
      <c r="AE56" s="138">
        <f t="shared" si="1"/>
        <v>-1.5946286193873282E-2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56.820399999999999</v>
      </c>
      <c r="Q57" s="2"/>
      <c r="R57" s="34"/>
      <c r="T57" s="108" t="s">
        <v>112</v>
      </c>
      <c r="U57" s="106">
        <v>-10.23</v>
      </c>
      <c r="W57" s="110">
        <v>42675</v>
      </c>
      <c r="X57" s="41">
        <v>48.52</v>
      </c>
      <c r="Y57" s="41">
        <v>48.76</v>
      </c>
      <c r="Z57" s="41">
        <v>46.81</v>
      </c>
      <c r="AA57" s="41">
        <v>47.85</v>
      </c>
      <c r="AB57" s="104">
        <v>4069800</v>
      </c>
      <c r="AC57" s="41">
        <v>47.66</v>
      </c>
      <c r="AD57" s="2">
        <f t="shared" si="0"/>
        <v>1.9499999999999957</v>
      </c>
      <c r="AE57" s="138">
        <f t="shared" si="1"/>
        <v>-2.511511092507468E-3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56.240599999999993</v>
      </c>
      <c r="Q58" s="2"/>
      <c r="R58" s="34"/>
      <c r="T58" s="108" t="s">
        <v>109</v>
      </c>
      <c r="U58" s="106" t="s">
        <v>535</v>
      </c>
      <c r="W58" s="110">
        <v>42674</v>
      </c>
      <c r="X58" s="41">
        <v>50.08</v>
      </c>
      <c r="Y58" s="41">
        <v>50.25</v>
      </c>
      <c r="Z58" s="41">
        <v>47.81</v>
      </c>
      <c r="AA58" s="41">
        <v>47.97</v>
      </c>
      <c r="AB58" s="104">
        <v>4938200</v>
      </c>
      <c r="AC58" s="41">
        <v>47.78</v>
      </c>
      <c r="AD58" s="2">
        <f t="shared" si="0"/>
        <v>2.4399999999999977</v>
      </c>
      <c r="AE58" s="138">
        <f t="shared" si="1"/>
        <v>-4.6307385229540921E-2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55.660799999999995</v>
      </c>
      <c r="W59" s="110">
        <v>42671</v>
      </c>
      <c r="X59" s="41">
        <v>50.39</v>
      </c>
      <c r="Y59" s="41">
        <v>51.67</v>
      </c>
      <c r="Z59" s="41">
        <v>50.02</v>
      </c>
      <c r="AA59" s="41">
        <v>50.3</v>
      </c>
      <c r="AB59" s="104">
        <v>3224000</v>
      </c>
      <c r="AC59" s="41">
        <v>50.1</v>
      </c>
      <c r="AD59" s="2">
        <f t="shared" si="0"/>
        <v>1.6499999999999986</v>
      </c>
      <c r="AE59" s="138">
        <f t="shared" si="1"/>
        <v>-2.3894862604539879E-3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55.080999999999996</v>
      </c>
      <c r="W60" s="110">
        <v>42670</v>
      </c>
      <c r="X60" s="41">
        <v>50.7</v>
      </c>
      <c r="Y60" s="41">
        <v>51.28</v>
      </c>
      <c r="Z60" s="41">
        <v>49.88</v>
      </c>
      <c r="AA60" s="41">
        <v>50.42</v>
      </c>
      <c r="AB60" s="104">
        <v>4812700</v>
      </c>
      <c r="AC60" s="41">
        <v>50.22</v>
      </c>
      <c r="AD60" s="2">
        <f t="shared" si="0"/>
        <v>1.3999999999999986</v>
      </c>
      <c r="AE60" s="138">
        <f t="shared" si="1"/>
        <v>3.1961646024769585E-3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54.501199999999997</v>
      </c>
      <c r="W61" s="110">
        <v>42669</v>
      </c>
      <c r="X61" s="41">
        <v>52.05</v>
      </c>
      <c r="Y61" s="41">
        <v>53.01</v>
      </c>
      <c r="Z61" s="41">
        <v>48.67</v>
      </c>
      <c r="AA61" s="41">
        <v>50.26</v>
      </c>
      <c r="AB61" s="104">
        <v>8766100</v>
      </c>
      <c r="AC61" s="41">
        <v>50.06</v>
      </c>
      <c r="AD61" s="2">
        <f t="shared" si="0"/>
        <v>4.3399999999999963</v>
      </c>
      <c r="AE61" s="138">
        <f t="shared" si="1"/>
        <v>-1.2623274161735698E-2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53.921399999999998</v>
      </c>
      <c r="W62" s="110">
        <v>42668</v>
      </c>
      <c r="X62" s="41">
        <v>52.42</v>
      </c>
      <c r="Y62" s="41">
        <v>52.8</v>
      </c>
      <c r="Z62" s="41">
        <v>50.8</v>
      </c>
      <c r="AA62" s="41">
        <v>50.9</v>
      </c>
      <c r="AB62" s="104">
        <v>4509400</v>
      </c>
      <c r="AC62" s="41">
        <v>50.7</v>
      </c>
      <c r="AD62" s="2">
        <f t="shared" si="0"/>
        <v>2</v>
      </c>
      <c r="AE62" s="138">
        <f t="shared" si="1"/>
        <v>-2.518746394924043E-2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53.3416</v>
      </c>
      <c r="W63" s="110">
        <v>42667</v>
      </c>
      <c r="X63" s="41">
        <v>52.76</v>
      </c>
      <c r="Y63" s="41">
        <v>53.38</v>
      </c>
      <c r="Z63" s="41">
        <v>51.38</v>
      </c>
      <c r="AA63" s="41">
        <v>52.22</v>
      </c>
      <c r="AB63" s="104">
        <v>3239700</v>
      </c>
      <c r="AC63" s="41">
        <v>52.01</v>
      </c>
      <c r="AD63" s="2">
        <f t="shared" si="0"/>
        <v>2</v>
      </c>
      <c r="AE63" s="138">
        <f t="shared" si="1"/>
        <v>-1.0275927687916298E-2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52.761800000000001</v>
      </c>
      <c r="W64" s="110">
        <v>42664</v>
      </c>
      <c r="X64" s="41">
        <v>52.14</v>
      </c>
      <c r="Y64" s="41">
        <v>52.78</v>
      </c>
      <c r="Z64" s="41">
        <v>51.93</v>
      </c>
      <c r="AA64" s="41">
        <v>52.76</v>
      </c>
      <c r="AB64" s="104">
        <v>2488000</v>
      </c>
      <c r="AC64" s="41">
        <v>52.55</v>
      </c>
      <c r="AD64" s="2">
        <f t="shared" si="0"/>
        <v>0.85000000000000142</v>
      </c>
      <c r="AE64" s="138">
        <f t="shared" si="1"/>
        <v>2.0976353928299218E-3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52.181999999999995</v>
      </c>
      <c r="W65" s="110">
        <v>42663</v>
      </c>
      <c r="X65" s="41">
        <v>51.74</v>
      </c>
      <c r="Y65" s="41">
        <v>52.77</v>
      </c>
      <c r="Z65" s="41">
        <v>51.54</v>
      </c>
      <c r="AA65" s="41">
        <v>52.65</v>
      </c>
      <c r="AB65" s="104">
        <v>2248100</v>
      </c>
      <c r="AC65" s="41">
        <v>52.44</v>
      </c>
      <c r="AD65" s="2">
        <f t="shared" si="0"/>
        <v>1.230000000000004</v>
      </c>
      <c r="AE65" s="138">
        <f t="shared" si="1"/>
        <v>5.368098159509227E-3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42662</v>
      </c>
      <c r="X66" s="41">
        <v>51.62</v>
      </c>
      <c r="Y66" s="41">
        <v>53.24</v>
      </c>
      <c r="Z66" s="41">
        <v>51.28</v>
      </c>
      <c r="AA66" s="41">
        <v>52.37</v>
      </c>
      <c r="AB66" s="104">
        <v>3695200</v>
      </c>
      <c r="AC66" s="41">
        <v>52.16</v>
      </c>
      <c r="AD66" s="2">
        <f t="shared" si="0"/>
        <v>1.9600000000000009</v>
      </c>
      <c r="AE66" s="138">
        <f t="shared" si="1"/>
        <v>2.7176053564395231E-2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42661</v>
      </c>
      <c r="X67" s="41">
        <v>51.68</v>
      </c>
      <c r="Y67" s="41">
        <v>51.72</v>
      </c>
      <c r="Z67" s="41">
        <v>50.79</v>
      </c>
      <c r="AA67" s="41">
        <v>50.98</v>
      </c>
      <c r="AB67" s="104">
        <v>2453500</v>
      </c>
      <c r="AC67" s="41">
        <v>50.78</v>
      </c>
      <c r="AD67" s="2">
        <f>Y67-Z67</f>
        <v>0.92999999999999972</v>
      </c>
      <c r="AE67" s="138">
        <f>AC67/AC68-1</f>
        <v>3.1608060055314802E-3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42660</v>
      </c>
      <c r="X68" s="41">
        <v>51.48</v>
      </c>
      <c r="Y68" s="41">
        <v>51.81</v>
      </c>
      <c r="Z68" s="41">
        <v>50.3</v>
      </c>
      <c r="AA68" s="41">
        <v>50.82</v>
      </c>
      <c r="AB68" s="104">
        <v>2656700</v>
      </c>
      <c r="AC68" s="41">
        <v>50.62</v>
      </c>
      <c r="AD68" s="2">
        <f>Y68-Z68</f>
        <v>1.5100000000000051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214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17" priority="17">
      <formula>F38&gt;0</formula>
    </cfRule>
    <cfRule type="expression" dxfId="516" priority="18">
      <formula>F38&lt;0</formula>
    </cfRule>
  </conditionalFormatting>
  <conditionalFormatting sqref="H38:H72">
    <cfRule type="expression" dxfId="515" priority="9">
      <formula>H38&gt;0</formula>
    </cfRule>
    <cfRule type="expression" dxfId="514" priority="10">
      <formula>H38&lt;0</formula>
    </cfRule>
  </conditionalFormatting>
  <conditionalFormatting sqref="F21:F37">
    <cfRule type="expression" dxfId="513" priority="7">
      <formula>F21&gt;0</formula>
    </cfRule>
    <cfRule type="expression" dxfId="512" priority="8">
      <formula>F21&lt;0</formula>
    </cfRule>
  </conditionalFormatting>
  <conditionalFormatting sqref="H21:H37">
    <cfRule type="expression" dxfId="511" priority="5">
      <formula>H21&gt;0</formula>
    </cfRule>
    <cfRule type="expression" dxfId="510" priority="6">
      <formula>H21&lt;0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42755</v>
      </c>
      <c r="X2" s="10">
        <v>106.83</v>
      </c>
      <c r="Y2" s="10">
        <v>108.64</v>
      </c>
      <c r="Z2" s="10">
        <v>106.61</v>
      </c>
      <c r="AA2" s="10">
        <v>108.6</v>
      </c>
      <c r="AB2" s="95">
        <v>6288300</v>
      </c>
      <c r="AC2" s="10">
        <v>108.6</v>
      </c>
      <c r="AD2" s="2">
        <f>Y2-Z2</f>
        <v>2.0300000000000011</v>
      </c>
      <c r="AE2" s="138">
        <f>AC2/AC3-1</f>
        <v>2.2213855421686635E-2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108.6</v>
      </c>
      <c r="W3" s="133">
        <v>42754</v>
      </c>
      <c r="X3" s="10">
        <v>108.21</v>
      </c>
      <c r="Y3" s="10">
        <v>108.98</v>
      </c>
      <c r="Z3" s="10">
        <v>105.44</v>
      </c>
      <c r="AA3" s="10">
        <v>106.24</v>
      </c>
      <c r="AB3" s="95">
        <v>10078700</v>
      </c>
      <c r="AC3" s="10">
        <v>106.24</v>
      </c>
      <c r="AD3" s="2">
        <f t="shared" ref="AD3:AD66" si="0">Y3-Z3</f>
        <v>3.5400000000000063</v>
      </c>
      <c r="AE3" s="138">
        <f t="shared" ref="AE3:AE66" si="1">AC3/AC4-1</f>
        <v>2.3802640454852142E-2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108.6</v>
      </c>
      <c r="R4" s="526">
        <v>2.2200000000000001E-2</v>
      </c>
      <c r="W4" s="133">
        <v>42753</v>
      </c>
      <c r="X4" s="10">
        <v>102.26</v>
      </c>
      <c r="Y4" s="10">
        <v>104.37</v>
      </c>
      <c r="Z4" s="10">
        <v>101.53</v>
      </c>
      <c r="AA4" s="10">
        <v>103.77</v>
      </c>
      <c r="AB4" s="95">
        <v>5356800</v>
      </c>
      <c r="AC4" s="10">
        <v>103.77</v>
      </c>
      <c r="AD4" s="2">
        <f t="shared" si="0"/>
        <v>2.8400000000000034</v>
      </c>
      <c r="AE4" s="138">
        <f t="shared" si="1"/>
        <v>3.8695946599593967E-3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42752</v>
      </c>
      <c r="X5" s="10">
        <v>104.7</v>
      </c>
      <c r="Y5" s="10">
        <v>104.82</v>
      </c>
      <c r="Z5" s="10">
        <v>102.85</v>
      </c>
      <c r="AA5" s="10">
        <v>103.37</v>
      </c>
      <c r="AB5" s="95">
        <v>3398400</v>
      </c>
      <c r="AC5" s="10">
        <v>103.37</v>
      </c>
      <c r="AD5" s="2">
        <f t="shared" si="0"/>
        <v>1.9699999999999989</v>
      </c>
      <c r="AE5" s="138">
        <f t="shared" si="1"/>
        <v>-1.7862232779097376E-2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104.51</v>
      </c>
      <c r="Y6" s="10">
        <v>105.45</v>
      </c>
      <c r="Z6" s="10">
        <v>104.28</v>
      </c>
      <c r="AA6" s="10">
        <v>105.25</v>
      </c>
      <c r="AB6" s="95">
        <v>2743400</v>
      </c>
      <c r="AC6" s="10">
        <v>105.25</v>
      </c>
      <c r="AD6" s="2">
        <f t="shared" si="0"/>
        <v>1.1700000000000017</v>
      </c>
      <c r="AE6" s="138">
        <f t="shared" si="1"/>
        <v>5.2531041069723283E-3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42747</v>
      </c>
      <c r="X7" s="10">
        <v>104.27</v>
      </c>
      <c r="Y7" s="10">
        <v>104.96</v>
      </c>
      <c r="Z7" s="10">
        <v>103.35</v>
      </c>
      <c r="AA7" s="10">
        <v>104.7</v>
      </c>
      <c r="AB7" s="95">
        <v>2395800</v>
      </c>
      <c r="AC7" s="10">
        <v>104.7</v>
      </c>
      <c r="AD7" s="2">
        <f t="shared" si="0"/>
        <v>1.6099999999999994</v>
      </c>
      <c r="AE7" s="138">
        <f t="shared" si="1"/>
        <v>4.1239090821905133E-3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103.35</v>
      </c>
      <c r="Y8" s="10">
        <v>104.83</v>
      </c>
      <c r="Z8" s="10">
        <v>103.03</v>
      </c>
      <c r="AA8" s="10">
        <v>104.27</v>
      </c>
      <c r="AB8" s="95">
        <v>2842100</v>
      </c>
      <c r="AC8" s="10">
        <v>104.27</v>
      </c>
      <c r="AD8" s="2">
        <f t="shared" si="0"/>
        <v>1.7999999999999972</v>
      </c>
      <c r="AE8" s="138">
        <f t="shared" si="1"/>
        <v>8.218913169599551E-3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102.56</v>
      </c>
      <c r="Y9" s="10">
        <v>104.24</v>
      </c>
      <c r="Z9" s="10">
        <v>101.91</v>
      </c>
      <c r="AA9" s="10">
        <v>103.42</v>
      </c>
      <c r="AB9" s="95">
        <v>3562700</v>
      </c>
      <c r="AC9" s="10">
        <v>103.42</v>
      </c>
      <c r="AD9" s="2">
        <f t="shared" si="0"/>
        <v>2.3299999999999983</v>
      </c>
      <c r="AE9" s="138">
        <f t="shared" si="1"/>
        <v>9.7637180238234755E-3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M34</f>
        <v>128.08999999999833</v>
      </c>
      <c r="W10" s="133">
        <v>42744</v>
      </c>
      <c r="X10" s="10">
        <v>103.73</v>
      </c>
      <c r="Y10" s="10">
        <v>103.74</v>
      </c>
      <c r="Z10" s="10">
        <v>101.9</v>
      </c>
      <c r="AA10" s="10">
        <v>102.42</v>
      </c>
      <c r="AB10" s="95">
        <v>2968600</v>
      </c>
      <c r="AC10" s="10">
        <v>102.42</v>
      </c>
      <c r="AD10" s="2">
        <f t="shared" si="0"/>
        <v>1.8399999999999892</v>
      </c>
      <c r="AE10" s="138">
        <f t="shared" si="1"/>
        <v>-7.4619633685434339E-3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42741</v>
      </c>
      <c r="X11" s="10">
        <v>102.03</v>
      </c>
      <c r="Y11" s="10">
        <v>103.77</v>
      </c>
      <c r="Z11" s="10">
        <v>101.2</v>
      </c>
      <c r="AA11" s="10">
        <v>103.19</v>
      </c>
      <c r="AB11" s="95">
        <v>3862400</v>
      </c>
      <c r="AC11" s="10">
        <v>103.19</v>
      </c>
      <c r="AD11" s="2">
        <f t="shared" si="0"/>
        <v>2.5699999999999932</v>
      </c>
      <c r="AE11" s="138">
        <f t="shared" si="1"/>
        <v>1.0378928816214605E-2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42740</v>
      </c>
      <c r="X12" s="10">
        <v>103.03</v>
      </c>
      <c r="Y12" s="10">
        <v>103.36</v>
      </c>
      <c r="Z12" s="10">
        <v>101.22</v>
      </c>
      <c r="AA12" s="10">
        <v>102.13</v>
      </c>
      <c r="AB12" s="95">
        <v>4180400</v>
      </c>
      <c r="AC12" s="10">
        <v>102.13</v>
      </c>
      <c r="AD12" s="2">
        <f t="shared" si="0"/>
        <v>2.1400000000000006</v>
      </c>
      <c r="AE12" s="138">
        <f t="shared" si="1"/>
        <v>-9.7925150281171769E-3</v>
      </c>
    </row>
    <row r="13" spans="1:31" x14ac:dyDescent="0.25">
      <c r="T13" s="67"/>
      <c r="W13" s="133">
        <v>42739</v>
      </c>
      <c r="X13" s="10">
        <v>102.89</v>
      </c>
      <c r="Y13" s="10">
        <v>104.31</v>
      </c>
      <c r="Z13" s="10">
        <v>102.51</v>
      </c>
      <c r="AA13" s="10">
        <v>103.14</v>
      </c>
      <c r="AB13" s="95">
        <v>3660200</v>
      </c>
      <c r="AC13" s="10">
        <v>103.14</v>
      </c>
      <c r="AD13" s="2">
        <f t="shared" si="0"/>
        <v>1.7999999999999972</v>
      </c>
      <c r="AE13" s="138">
        <f t="shared" si="1"/>
        <v>6.0476004682012974E-3</v>
      </c>
    </row>
    <row r="14" spans="1:31" x14ac:dyDescent="0.25">
      <c r="W14" s="133">
        <v>42738</v>
      </c>
      <c r="X14" s="10">
        <v>104.48</v>
      </c>
      <c r="Y14" s="10">
        <v>105.29</v>
      </c>
      <c r="Z14" s="10">
        <v>102.07</v>
      </c>
      <c r="AA14" s="10">
        <v>102.52</v>
      </c>
      <c r="AB14" s="95">
        <v>3822700</v>
      </c>
      <c r="AC14" s="10">
        <v>102.52</v>
      </c>
      <c r="AD14" s="2">
        <f t="shared" si="0"/>
        <v>3.2200000000000131</v>
      </c>
      <c r="AE14" s="138">
        <f t="shared" si="1"/>
        <v>-1.1188271604938405E-2</v>
      </c>
    </row>
    <row r="15" spans="1:31" x14ac:dyDescent="0.25">
      <c r="W15" s="133">
        <v>42734</v>
      </c>
      <c r="X15" s="10">
        <v>104.18</v>
      </c>
      <c r="Y15" s="10">
        <v>104.84</v>
      </c>
      <c r="Z15" s="10">
        <v>103.25</v>
      </c>
      <c r="AA15" s="10">
        <v>103.68</v>
      </c>
      <c r="AB15" s="95">
        <v>2913800</v>
      </c>
      <c r="AC15" s="10">
        <v>103.68</v>
      </c>
      <c r="AD15" s="2">
        <f t="shared" si="0"/>
        <v>1.5900000000000034</v>
      </c>
      <c r="AE15" s="138">
        <f t="shared" si="1"/>
        <v>-7.0867649875502314E-3</v>
      </c>
    </row>
    <row r="16" spans="1:31" x14ac:dyDescent="0.25">
      <c r="W16" s="133">
        <v>42733</v>
      </c>
      <c r="X16" s="10">
        <v>104.88</v>
      </c>
      <c r="Y16" s="10">
        <v>105.25</v>
      </c>
      <c r="Z16" s="10">
        <v>103.99</v>
      </c>
      <c r="AA16" s="10">
        <v>104.42</v>
      </c>
      <c r="AB16" s="95">
        <v>2121200</v>
      </c>
      <c r="AC16" s="10">
        <v>104.42</v>
      </c>
      <c r="AD16" s="2">
        <f t="shared" si="0"/>
        <v>1.2600000000000051</v>
      </c>
      <c r="AE16" s="138">
        <f t="shared" si="1"/>
        <v>-3.2455135547919678E-3</v>
      </c>
    </row>
    <row r="17" spans="1:31" x14ac:dyDescent="0.25">
      <c r="W17" s="133">
        <v>42732</v>
      </c>
      <c r="X17" s="10">
        <v>105.75</v>
      </c>
      <c r="Y17" s="10">
        <v>106.32</v>
      </c>
      <c r="Z17" s="10">
        <v>104.59</v>
      </c>
      <c r="AA17" s="10">
        <v>104.76</v>
      </c>
      <c r="AB17" s="95">
        <v>1766400</v>
      </c>
      <c r="AC17" s="10">
        <v>104.76</v>
      </c>
      <c r="AD17" s="2">
        <f t="shared" si="0"/>
        <v>1.7299999999999898</v>
      </c>
      <c r="AE17" s="138">
        <f t="shared" si="1"/>
        <v>-8.9868508182763263E-3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42731</v>
      </c>
      <c r="X18" s="10">
        <v>105.51</v>
      </c>
      <c r="Y18" s="10">
        <v>105.93</v>
      </c>
      <c r="Z18" s="10">
        <v>105.21</v>
      </c>
      <c r="AA18" s="10">
        <v>105.71</v>
      </c>
      <c r="AB18" s="95">
        <v>1517500</v>
      </c>
      <c r="AC18" s="10">
        <v>105.71</v>
      </c>
      <c r="AD18" s="2">
        <f t="shared" si="0"/>
        <v>0.72000000000001307</v>
      </c>
      <c r="AE18" s="138">
        <f t="shared" si="1"/>
        <v>5.0389807948278964E-3</v>
      </c>
    </row>
    <row r="19" spans="1:31" x14ac:dyDescent="0.25">
      <c r="W19" s="133">
        <v>42727</v>
      </c>
      <c r="X19" s="10">
        <v>105.23</v>
      </c>
      <c r="Y19" s="10">
        <v>105.27</v>
      </c>
      <c r="Z19" s="10">
        <v>104.32</v>
      </c>
      <c r="AA19" s="10">
        <v>105.18</v>
      </c>
      <c r="AB19" s="95">
        <v>2146200</v>
      </c>
      <c r="AC19" s="10">
        <v>105.18</v>
      </c>
      <c r="AD19" s="2">
        <f t="shared" si="0"/>
        <v>0.95000000000000284</v>
      </c>
      <c r="AE19" s="138">
        <f t="shared" si="1"/>
        <v>-9.5066070919247458E-5</v>
      </c>
    </row>
    <row r="20" spans="1:31" x14ac:dyDescent="0.25">
      <c r="W20" s="133">
        <v>42726</v>
      </c>
      <c r="X20" s="10">
        <v>104.12</v>
      </c>
      <c r="Y20" s="10">
        <v>105.28</v>
      </c>
      <c r="Z20" s="10">
        <v>103.37</v>
      </c>
      <c r="AA20" s="10">
        <v>105.19</v>
      </c>
      <c r="AB20" s="95">
        <v>2994800</v>
      </c>
      <c r="AC20" s="10">
        <v>105.19</v>
      </c>
      <c r="AD20" s="2">
        <f t="shared" si="0"/>
        <v>1.9099999999999966</v>
      </c>
      <c r="AE20" s="138">
        <f t="shared" si="1"/>
        <v>5.1600573339702915E-3</v>
      </c>
    </row>
    <row r="21" spans="1:31" x14ac:dyDescent="0.25">
      <c r="W21" s="40">
        <v>42725</v>
      </c>
      <c r="X21" s="10">
        <v>104.7</v>
      </c>
      <c r="Y21" s="10">
        <v>105.55</v>
      </c>
      <c r="Z21" s="10">
        <v>104.05</v>
      </c>
      <c r="AA21" s="10">
        <v>104.65</v>
      </c>
      <c r="AB21" s="95">
        <v>2210900</v>
      </c>
      <c r="AC21" s="10">
        <v>104.65</v>
      </c>
      <c r="AD21" s="2">
        <f t="shared" si="0"/>
        <v>1.5</v>
      </c>
      <c r="AE21" s="138">
        <f t="shared" si="1"/>
        <v>0</v>
      </c>
    </row>
    <row r="22" spans="1:31" x14ac:dyDescent="0.25">
      <c r="W22" s="133">
        <v>42724</v>
      </c>
      <c r="X22" s="10">
        <v>103.81</v>
      </c>
      <c r="Y22" s="10">
        <v>104.77</v>
      </c>
      <c r="Z22" s="10">
        <v>103.54</v>
      </c>
      <c r="AA22" s="10">
        <v>104.65</v>
      </c>
      <c r="AB22" s="95">
        <v>3024000</v>
      </c>
      <c r="AC22" s="10">
        <v>104.65</v>
      </c>
      <c r="AD22" s="2">
        <f t="shared" si="0"/>
        <v>1.2299999999999898</v>
      </c>
      <c r="AE22" s="138">
        <f t="shared" si="1"/>
        <v>1.2088974854932211E-2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103.08</v>
      </c>
      <c r="Y23" s="10">
        <v>103.89</v>
      </c>
      <c r="Z23" s="10">
        <v>102.63</v>
      </c>
      <c r="AA23" s="10">
        <v>103.4</v>
      </c>
      <c r="AB23" s="95">
        <v>2849700</v>
      </c>
      <c r="AC23" s="10">
        <v>103.4</v>
      </c>
      <c r="AD23" s="2">
        <f t="shared" si="0"/>
        <v>1.2600000000000051</v>
      </c>
      <c r="AE23" s="138">
        <f t="shared" si="1"/>
        <v>8.7116445649026986E-4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42720</v>
      </c>
      <c r="X24" s="10">
        <v>104.74</v>
      </c>
      <c r="Y24" s="10">
        <v>104.97</v>
      </c>
      <c r="Z24" s="10">
        <v>103.05</v>
      </c>
      <c r="AA24" s="10">
        <v>103.31</v>
      </c>
      <c r="AB24" s="95">
        <v>6242800</v>
      </c>
      <c r="AC24" s="10">
        <v>103.31</v>
      </c>
      <c r="AD24" s="2">
        <f t="shared" si="0"/>
        <v>1.9200000000000017</v>
      </c>
      <c r="AE24" s="138">
        <f t="shared" si="1"/>
        <v>-1.3087504776461589E-2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42719</v>
      </c>
      <c r="X25" s="10">
        <v>102.98</v>
      </c>
      <c r="Y25" s="10">
        <v>104.94</v>
      </c>
      <c r="Z25" s="10">
        <v>102.51</v>
      </c>
      <c r="AA25" s="10">
        <v>104.68</v>
      </c>
      <c r="AB25" s="95">
        <v>4479800</v>
      </c>
      <c r="AC25" s="10">
        <v>104.68</v>
      </c>
      <c r="AD25" s="2">
        <f t="shared" si="0"/>
        <v>2.4299999999999926</v>
      </c>
      <c r="AE25" s="138">
        <f t="shared" si="1"/>
        <v>1.8089865784866932E-2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42718</v>
      </c>
      <c r="X26" s="10">
        <v>104.25</v>
      </c>
      <c r="Y26" s="10">
        <v>104.83</v>
      </c>
      <c r="Z26" s="10">
        <v>102.67</v>
      </c>
      <c r="AA26" s="10">
        <v>102.82</v>
      </c>
      <c r="AB26" s="95">
        <v>3472200</v>
      </c>
      <c r="AC26" s="10">
        <v>102.82</v>
      </c>
      <c r="AD26" s="2">
        <f t="shared" si="0"/>
        <v>2.1599999999999966</v>
      </c>
      <c r="AE26" s="138">
        <f t="shared" si="1"/>
        <v>-1.1726259131103589E-2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42717</v>
      </c>
      <c r="X27" s="10">
        <v>104.59</v>
      </c>
      <c r="Y27" s="10">
        <v>104.74</v>
      </c>
      <c r="Z27" s="10">
        <v>103.12</v>
      </c>
      <c r="AA27" s="10">
        <v>104.04</v>
      </c>
      <c r="AB27" s="95">
        <v>4081800</v>
      </c>
      <c r="AC27" s="10">
        <v>104.04</v>
      </c>
      <c r="AD27" s="2">
        <f t="shared" si="0"/>
        <v>1.6199999999999903</v>
      </c>
      <c r="AE27" s="138">
        <f t="shared" si="1"/>
        <v>-2.6840490797545025E-3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42716</v>
      </c>
      <c r="X28" s="10">
        <v>105.33</v>
      </c>
      <c r="Y28" s="10">
        <v>105.33</v>
      </c>
      <c r="Z28" s="10">
        <v>102.91</v>
      </c>
      <c r="AA28" s="10">
        <v>104.32</v>
      </c>
      <c r="AB28" s="95">
        <v>4135600</v>
      </c>
      <c r="AC28" s="10">
        <v>104.32</v>
      </c>
      <c r="AD28" s="2">
        <f t="shared" si="0"/>
        <v>2.4200000000000017</v>
      </c>
      <c r="AE28" s="138">
        <f t="shared" si="1"/>
        <v>-6.3815601485855966E-3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104.89</v>
      </c>
      <c r="Y29" s="10">
        <v>105.48</v>
      </c>
      <c r="Z29" s="10">
        <v>104.03</v>
      </c>
      <c r="AA29" s="10">
        <v>104.99</v>
      </c>
      <c r="AB29" s="95">
        <v>4093400</v>
      </c>
      <c r="AC29" s="10">
        <v>104.99</v>
      </c>
      <c r="AD29" s="2">
        <f t="shared" si="0"/>
        <v>1.4500000000000028</v>
      </c>
      <c r="AE29" s="138">
        <f t="shared" si="1"/>
        <v>-3.6063395653412877E-3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106.32</v>
      </c>
      <c r="Y30" s="10">
        <v>106.62</v>
      </c>
      <c r="Z30" s="10">
        <v>104.74</v>
      </c>
      <c r="AA30" s="10">
        <v>105.37</v>
      </c>
      <c r="AB30" s="95">
        <v>3850300</v>
      </c>
      <c r="AC30" s="10">
        <v>105.37</v>
      </c>
      <c r="AD30" s="2">
        <f t="shared" si="0"/>
        <v>1.8800000000000097</v>
      </c>
      <c r="AE30" s="138">
        <f t="shared" si="1"/>
        <v>-9.0284961911031303E-3</v>
      </c>
    </row>
    <row r="31" spans="1:31" x14ac:dyDescent="0.25">
      <c r="W31" s="133">
        <v>42711</v>
      </c>
      <c r="X31" s="10">
        <v>103.49</v>
      </c>
      <c r="Y31" s="10">
        <v>106.5</v>
      </c>
      <c r="Z31" s="10">
        <v>102.72</v>
      </c>
      <c r="AA31" s="10">
        <v>106.33</v>
      </c>
      <c r="AB31" s="95">
        <v>4892500</v>
      </c>
      <c r="AC31" s="10">
        <v>106.33</v>
      </c>
      <c r="AD31" s="2">
        <f t="shared" si="0"/>
        <v>3.7800000000000011</v>
      </c>
      <c r="AE31" s="138">
        <f t="shared" si="1"/>
        <v>3.0828889966068695E-2</v>
      </c>
    </row>
    <row r="32" spans="1:31" x14ac:dyDescent="0.25">
      <c r="W32" s="133">
        <v>42710</v>
      </c>
      <c r="X32" s="10">
        <v>103</v>
      </c>
      <c r="Y32" s="10">
        <v>103.31</v>
      </c>
      <c r="Z32" s="10">
        <v>102.3</v>
      </c>
      <c r="AA32" s="10">
        <v>103.15</v>
      </c>
      <c r="AB32" s="95">
        <v>3187400</v>
      </c>
      <c r="AC32" s="10">
        <v>103.15</v>
      </c>
      <c r="AD32" s="2">
        <f t="shared" si="0"/>
        <v>1.0100000000000051</v>
      </c>
      <c r="AE32" s="138">
        <f t="shared" si="1"/>
        <v>3.0143912874367462E-3</v>
      </c>
    </row>
    <row r="33" spans="1:31" x14ac:dyDescent="0.25">
      <c r="W33" s="133">
        <v>42709</v>
      </c>
      <c r="X33" s="10">
        <v>103.32</v>
      </c>
      <c r="Y33" s="10">
        <v>103.75</v>
      </c>
      <c r="Z33" s="10">
        <v>102.81</v>
      </c>
      <c r="AA33" s="10">
        <v>102.84</v>
      </c>
      <c r="AB33" s="95">
        <v>3437700</v>
      </c>
      <c r="AC33" s="10">
        <v>102.84</v>
      </c>
      <c r="AD33" s="2">
        <f t="shared" si="0"/>
        <v>0.93999999999999773</v>
      </c>
      <c r="AE33" s="138">
        <f t="shared" si="1"/>
        <v>1.8509498295178339E-3</v>
      </c>
    </row>
    <row r="34" spans="1:31" x14ac:dyDescent="0.25">
      <c r="L34" t="s">
        <v>214</v>
      </c>
      <c r="M34" s="2">
        <f>M49+K49-F49</f>
        <v>128.08999999999833</v>
      </c>
      <c r="W34" s="133">
        <v>42706</v>
      </c>
      <c r="X34" s="10">
        <v>103.38</v>
      </c>
      <c r="Y34" s="10">
        <v>103.6</v>
      </c>
      <c r="Z34" s="10">
        <v>102.02</v>
      </c>
      <c r="AA34" s="10">
        <v>102.65</v>
      </c>
      <c r="AB34" s="95">
        <v>3510100</v>
      </c>
      <c r="AC34" s="10">
        <v>102.65</v>
      </c>
      <c r="AD34" s="2">
        <f t="shared" si="0"/>
        <v>1.5799999999999983</v>
      </c>
      <c r="AE34" s="138">
        <f t="shared" si="1"/>
        <v>-7.1573653157944728E-3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42705</v>
      </c>
      <c r="X35" s="10">
        <v>101.84</v>
      </c>
      <c r="Y35" s="10">
        <v>103.96</v>
      </c>
      <c r="Z35" s="10">
        <v>101.61</v>
      </c>
      <c r="AA35" s="10">
        <v>103.39</v>
      </c>
      <c r="AB35" s="95">
        <v>4730600</v>
      </c>
      <c r="AC35" s="10">
        <v>103.39</v>
      </c>
      <c r="AD35" s="2">
        <f t="shared" si="0"/>
        <v>2.3499999999999943</v>
      </c>
      <c r="AE35" s="138">
        <f t="shared" si="1"/>
        <v>2.0329616105792869E-2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42704</v>
      </c>
      <c r="X36" s="10">
        <v>101.36</v>
      </c>
      <c r="Y36" s="10">
        <v>102.73</v>
      </c>
      <c r="Z36" s="10">
        <v>101.26</v>
      </c>
      <c r="AA36" s="10">
        <v>101.33</v>
      </c>
      <c r="AB36" s="95">
        <v>6140900</v>
      </c>
      <c r="AC36" s="10">
        <v>101.33</v>
      </c>
      <c r="AD36" s="2">
        <f t="shared" si="0"/>
        <v>1.4699999999999989</v>
      </c>
      <c r="AE36" s="138">
        <f t="shared" si="1"/>
        <v>7.5569255245102607E-3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42703</v>
      </c>
      <c r="X37" s="10">
        <v>100.53</v>
      </c>
      <c r="Y37" s="10">
        <v>101.05</v>
      </c>
      <c r="Z37" s="10">
        <v>100.1</v>
      </c>
      <c r="AA37" s="10">
        <v>100.57</v>
      </c>
      <c r="AB37" s="95">
        <v>2936700</v>
      </c>
      <c r="AC37" s="10">
        <v>100.57</v>
      </c>
      <c r="AD37" s="2">
        <f t="shared" si="0"/>
        <v>0.95000000000000284</v>
      </c>
      <c r="AE37" s="138">
        <f t="shared" si="1"/>
        <v>-1.1917767404906465E-3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42702</v>
      </c>
      <c r="X38" s="10">
        <v>101.32</v>
      </c>
      <c r="Y38" s="10">
        <v>101.39</v>
      </c>
      <c r="Z38" s="10">
        <v>100.43</v>
      </c>
      <c r="AA38" s="10">
        <v>100.69</v>
      </c>
      <c r="AB38" s="95">
        <v>3497500</v>
      </c>
      <c r="AC38" s="10">
        <v>100.69</v>
      </c>
      <c r="AD38" s="2">
        <f t="shared" si="0"/>
        <v>0.95999999999999375</v>
      </c>
      <c r="AE38" s="138" t="e">
        <f t="shared" si="1"/>
        <v>#DIV/0!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42702</v>
      </c>
      <c r="X39" s="10" t="s">
        <v>357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42699</v>
      </c>
      <c r="X40" s="10">
        <v>101.45</v>
      </c>
      <c r="Y40" s="10">
        <v>102.16</v>
      </c>
      <c r="Z40" s="10">
        <v>101.13</v>
      </c>
      <c r="AA40" s="10">
        <v>102.1</v>
      </c>
      <c r="AB40" s="95">
        <v>1680900</v>
      </c>
      <c r="AC40" s="10">
        <v>101.5</v>
      </c>
      <c r="AD40" s="2">
        <f t="shared" si="0"/>
        <v>1.0300000000000011</v>
      </c>
      <c r="AE40" s="138">
        <f t="shared" si="1"/>
        <v>7.044349637860936E-3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42697</v>
      </c>
      <c r="X41" s="10">
        <v>100.71</v>
      </c>
      <c r="Y41" s="10">
        <v>101.7</v>
      </c>
      <c r="Z41" s="10">
        <v>100.66</v>
      </c>
      <c r="AA41" s="10">
        <v>101.39</v>
      </c>
      <c r="AB41" s="95">
        <v>3154300</v>
      </c>
      <c r="AC41" s="10">
        <v>100.79</v>
      </c>
      <c r="AD41" s="2">
        <f t="shared" si="0"/>
        <v>1.0400000000000063</v>
      </c>
      <c r="AE41" s="138">
        <f t="shared" si="1"/>
        <v>9.009910901992324E-3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42696</v>
      </c>
      <c r="X42" s="10">
        <v>101.1</v>
      </c>
      <c r="Y42" s="10">
        <v>101.22</v>
      </c>
      <c r="Z42" s="10">
        <v>100.39</v>
      </c>
      <c r="AA42" s="10">
        <v>100.49</v>
      </c>
      <c r="AB42" s="95">
        <v>3350900</v>
      </c>
      <c r="AC42" s="10">
        <v>99.89</v>
      </c>
      <c r="AD42" s="2">
        <f t="shared" si="0"/>
        <v>0.82999999999999829</v>
      </c>
      <c r="AE42" s="138">
        <f t="shared" si="1"/>
        <v>-2.5961058412381499E-3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114.42</v>
      </c>
      <c r="W43" s="133">
        <v>42695</v>
      </c>
      <c r="X43" s="10">
        <v>100.1</v>
      </c>
      <c r="Y43" s="10">
        <v>101.63</v>
      </c>
      <c r="Z43" s="10">
        <v>100</v>
      </c>
      <c r="AA43" s="10">
        <v>100.75</v>
      </c>
      <c r="AB43" s="95">
        <v>3385300</v>
      </c>
      <c r="AC43" s="10">
        <v>100.15</v>
      </c>
      <c r="AD43" s="2">
        <f t="shared" si="0"/>
        <v>1.6299999999999955</v>
      </c>
      <c r="AE43" s="138">
        <f t="shared" si="1"/>
        <v>9.1696896412738482E-3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113.66</v>
      </c>
      <c r="W44" s="133">
        <v>42692</v>
      </c>
      <c r="X44" s="10">
        <v>98.93</v>
      </c>
      <c r="Y44" s="10">
        <v>100</v>
      </c>
      <c r="Z44" s="10">
        <v>98.6</v>
      </c>
      <c r="AA44" s="10">
        <v>99.83</v>
      </c>
      <c r="AB44" s="95">
        <v>3653400</v>
      </c>
      <c r="AC44" s="10">
        <v>99.24</v>
      </c>
      <c r="AD44" s="2">
        <f t="shared" si="0"/>
        <v>1.4000000000000057</v>
      </c>
      <c r="AE44" s="138">
        <f t="shared" si="1"/>
        <v>1.0384850335980467E-2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42691</v>
      </c>
      <c r="X45" s="10">
        <v>97.72</v>
      </c>
      <c r="Y45" s="10">
        <v>98.94</v>
      </c>
      <c r="Z45" s="10">
        <v>97.48</v>
      </c>
      <c r="AA45" s="10">
        <v>98.81</v>
      </c>
      <c r="AB45" s="95">
        <v>4379500</v>
      </c>
      <c r="AC45" s="10">
        <v>98.22</v>
      </c>
      <c r="AD45" s="2">
        <f t="shared" si="0"/>
        <v>1.4599999999999937</v>
      </c>
      <c r="AE45" s="138">
        <f t="shared" si="1"/>
        <v>8.1083855075438915E-3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2" t="s">
        <v>78</v>
      </c>
      <c r="P46" s="632"/>
      <c r="Q46" s="34"/>
      <c r="R46"/>
      <c r="T46" s="87" t="s">
        <v>101</v>
      </c>
      <c r="U46" s="130" t="s">
        <v>129</v>
      </c>
      <c r="W46" s="133">
        <v>42690</v>
      </c>
      <c r="X46" s="10">
        <v>98.38</v>
      </c>
      <c r="Y46" s="10">
        <v>99.06</v>
      </c>
      <c r="Z46" s="10">
        <v>97.72</v>
      </c>
      <c r="AA46" s="10">
        <v>98.01</v>
      </c>
      <c r="AB46" s="95">
        <v>2866100</v>
      </c>
      <c r="AC46" s="10">
        <v>97.43</v>
      </c>
      <c r="AD46" s="2">
        <f t="shared" si="0"/>
        <v>1.3400000000000034</v>
      </c>
      <c r="AE46" s="138">
        <f t="shared" si="1"/>
        <v>-1.106374340235472E-2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119.46000000000001</v>
      </c>
      <c r="Q47" s="34"/>
      <c r="R47"/>
      <c r="T47" s="87" t="s">
        <v>102</v>
      </c>
      <c r="U47" s="130">
        <v>110.54</v>
      </c>
      <c r="W47" s="133">
        <v>42689</v>
      </c>
      <c r="X47" s="10">
        <v>99.18</v>
      </c>
      <c r="Y47" s="10">
        <v>99.54</v>
      </c>
      <c r="Z47" s="10">
        <v>97.92</v>
      </c>
      <c r="AA47" s="10">
        <v>99.11</v>
      </c>
      <c r="AB47" s="95">
        <v>4263200</v>
      </c>
      <c r="AC47" s="10">
        <v>98.52</v>
      </c>
      <c r="AD47" s="2">
        <f t="shared" si="0"/>
        <v>1.6200000000000045</v>
      </c>
      <c r="AE47" s="138">
        <f t="shared" si="1"/>
        <v>-3.2375556454877774E-3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118.37400000000001</v>
      </c>
      <c r="Q48" s="34"/>
      <c r="R48"/>
      <c r="T48" s="87" t="s">
        <v>103</v>
      </c>
      <c r="U48" s="130">
        <v>1.3261700000000001</v>
      </c>
      <c r="W48" s="133">
        <v>42688</v>
      </c>
      <c r="X48" s="10">
        <v>97.52</v>
      </c>
      <c r="Y48" s="10">
        <v>100.63</v>
      </c>
      <c r="Z48" s="10">
        <v>97.51</v>
      </c>
      <c r="AA48" s="10">
        <v>99.43</v>
      </c>
      <c r="AB48" s="95">
        <v>6617000</v>
      </c>
      <c r="AC48" s="10">
        <v>98.84</v>
      </c>
      <c r="AD48" s="2">
        <f t="shared" si="0"/>
        <v>3.1199999999999903</v>
      </c>
      <c r="AE48" s="138">
        <f t="shared" si="1"/>
        <v>2.6269338594123059E-2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117.288</v>
      </c>
      <c r="Q49" s="34"/>
      <c r="R49"/>
      <c r="T49" s="87" t="s">
        <v>104</v>
      </c>
      <c r="U49" s="94" t="s">
        <v>403</v>
      </c>
      <c r="W49" s="133">
        <v>42685</v>
      </c>
      <c r="X49" s="10">
        <v>97.05</v>
      </c>
      <c r="Y49" s="10">
        <v>97.7</v>
      </c>
      <c r="Z49" s="10">
        <v>95.67</v>
      </c>
      <c r="AA49" s="10">
        <v>96.88</v>
      </c>
      <c r="AB49" s="95">
        <v>6664200</v>
      </c>
      <c r="AC49" s="10">
        <v>96.31</v>
      </c>
      <c r="AD49" s="2">
        <f t="shared" si="0"/>
        <v>2.0300000000000011</v>
      </c>
      <c r="AE49" s="138">
        <f t="shared" si="1"/>
        <v>-6.1913115261582607E-3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116.202</v>
      </c>
      <c r="Q50" s="83"/>
      <c r="R50"/>
      <c r="T50" s="87"/>
      <c r="U50" s="130"/>
      <c r="W50" s="133">
        <v>42684</v>
      </c>
      <c r="X50" s="10">
        <v>95.13</v>
      </c>
      <c r="Y50" s="10">
        <v>98.79</v>
      </c>
      <c r="Z50" s="10">
        <v>95.03</v>
      </c>
      <c r="AA50" s="10">
        <v>97.49</v>
      </c>
      <c r="AB50" s="95">
        <v>8952900</v>
      </c>
      <c r="AC50" s="10">
        <v>96.91</v>
      </c>
      <c r="AD50" s="2">
        <f t="shared" si="0"/>
        <v>3.7600000000000051</v>
      </c>
      <c r="AE50" s="138">
        <f t="shared" si="1"/>
        <v>3.7691401648998868E-2</v>
      </c>
    </row>
    <row r="51" spans="1:31" x14ac:dyDescent="0.25">
      <c r="O51" s="83">
        <v>1.06</v>
      </c>
      <c r="P51" s="83">
        <f t="shared" si="3"/>
        <v>115.116</v>
      </c>
      <c r="Q51" s="83"/>
      <c r="R51"/>
      <c r="T51" s="87" t="s">
        <v>105</v>
      </c>
      <c r="U51" s="130" t="s">
        <v>536</v>
      </c>
      <c r="W51" s="133">
        <v>42683</v>
      </c>
      <c r="X51" s="10">
        <v>87.88</v>
      </c>
      <c r="Y51" s="10">
        <v>94.96</v>
      </c>
      <c r="Z51" s="10">
        <v>87.88</v>
      </c>
      <c r="AA51" s="10">
        <v>93.95</v>
      </c>
      <c r="AB51" s="95">
        <v>9655200</v>
      </c>
      <c r="AC51" s="10">
        <v>93.39</v>
      </c>
      <c r="AD51" s="2">
        <f t="shared" si="0"/>
        <v>7.0799999999999983</v>
      </c>
      <c r="AE51" s="138">
        <f t="shared" si="1"/>
        <v>3.6975349766822152E-2</v>
      </c>
    </row>
    <row r="52" spans="1:31" x14ac:dyDescent="0.25">
      <c r="O52" s="83">
        <v>1.05</v>
      </c>
      <c r="P52" s="83">
        <f t="shared" si="3"/>
        <v>114.03</v>
      </c>
      <c r="Q52" s="83"/>
      <c r="R52"/>
      <c r="T52" s="87" t="s">
        <v>106</v>
      </c>
      <c r="U52" s="130" t="s">
        <v>446</v>
      </c>
      <c r="W52" s="133">
        <v>42682</v>
      </c>
      <c r="X52" s="10">
        <v>90.79</v>
      </c>
      <c r="Y52" s="10">
        <v>90.96</v>
      </c>
      <c r="Z52" s="10">
        <v>89.72</v>
      </c>
      <c r="AA52" s="10">
        <v>90.6</v>
      </c>
      <c r="AB52" s="95">
        <v>4268500</v>
      </c>
      <c r="AC52" s="10">
        <v>90.06</v>
      </c>
      <c r="AD52" s="2">
        <f t="shared" si="0"/>
        <v>1.2399999999999949</v>
      </c>
      <c r="AE52" s="138">
        <f t="shared" si="1"/>
        <v>-1.6627868307281801E-3</v>
      </c>
    </row>
    <row r="53" spans="1:31" x14ac:dyDescent="0.25">
      <c r="O53" s="83">
        <v>1.04</v>
      </c>
      <c r="P53" s="83">
        <f t="shared" si="3"/>
        <v>112.944</v>
      </c>
      <c r="Q53" s="83"/>
      <c r="R53"/>
      <c r="T53" s="87" t="s">
        <v>107</v>
      </c>
      <c r="U53" s="131">
        <v>2656391</v>
      </c>
      <c r="W53" s="133">
        <v>42681</v>
      </c>
      <c r="X53" s="10">
        <v>90</v>
      </c>
      <c r="Y53" s="10">
        <v>90.88</v>
      </c>
      <c r="Z53" s="10">
        <v>89.85</v>
      </c>
      <c r="AA53" s="10">
        <v>90.75</v>
      </c>
      <c r="AB53" s="95">
        <v>4556500</v>
      </c>
      <c r="AC53" s="10">
        <v>90.21</v>
      </c>
      <c r="AD53" s="2">
        <f t="shared" si="0"/>
        <v>1.0300000000000011</v>
      </c>
      <c r="AE53" s="138">
        <f t="shared" si="1"/>
        <v>2.244134648078866E-2</v>
      </c>
    </row>
    <row r="54" spans="1:31" x14ac:dyDescent="0.25">
      <c r="O54" s="83">
        <v>1.03</v>
      </c>
      <c r="P54" s="83">
        <f t="shared" si="3"/>
        <v>111.858</v>
      </c>
      <c r="Q54" s="83"/>
      <c r="R54"/>
      <c r="T54" s="87" t="s">
        <v>110</v>
      </c>
      <c r="U54" s="131">
        <v>1992780</v>
      </c>
      <c r="W54" s="133">
        <v>42678</v>
      </c>
      <c r="X54" s="10">
        <v>88.7</v>
      </c>
      <c r="Y54" s="10">
        <v>89.48</v>
      </c>
      <c r="Z54" s="10">
        <v>88.38</v>
      </c>
      <c r="AA54" s="10">
        <v>88.76</v>
      </c>
      <c r="AB54" s="95">
        <v>3745700</v>
      </c>
      <c r="AC54" s="10">
        <v>88.23</v>
      </c>
      <c r="AD54" s="2">
        <f t="shared" si="0"/>
        <v>1.1000000000000085</v>
      </c>
      <c r="AE54" s="138">
        <f t="shared" si="1"/>
        <v>-1.1332728921109592E-4</v>
      </c>
    </row>
    <row r="55" spans="1:31" x14ac:dyDescent="0.25">
      <c r="O55" s="83">
        <v>1.02</v>
      </c>
      <c r="P55" s="83">
        <f t="shared" si="3"/>
        <v>110.77199999999999</v>
      </c>
      <c r="Q55" s="83"/>
      <c r="R55"/>
      <c r="T55" s="87" t="s">
        <v>108</v>
      </c>
      <c r="U55" s="130" t="s">
        <v>537</v>
      </c>
      <c r="W55" s="133">
        <v>42677</v>
      </c>
      <c r="X55" s="10">
        <v>88.68</v>
      </c>
      <c r="Y55" s="10">
        <v>89.64</v>
      </c>
      <c r="Z55" s="10">
        <v>88.25</v>
      </c>
      <c r="AA55" s="10">
        <v>88.77</v>
      </c>
      <c r="AB55" s="95">
        <v>4468600</v>
      </c>
      <c r="AC55" s="10">
        <v>88.24</v>
      </c>
      <c r="AD55" s="2">
        <f t="shared" si="0"/>
        <v>1.3900000000000006</v>
      </c>
      <c r="AE55" s="138">
        <f t="shared" si="1"/>
        <v>9.0744101633388752E-4</v>
      </c>
    </row>
    <row r="56" spans="1:31" x14ac:dyDescent="0.25">
      <c r="O56" s="83">
        <v>1.01</v>
      </c>
      <c r="P56" s="83">
        <f t="shared" si="3"/>
        <v>109.68599999999999</v>
      </c>
      <c r="Q56" s="83"/>
      <c r="R56"/>
      <c r="T56" s="87" t="s">
        <v>111</v>
      </c>
      <c r="U56" s="130">
        <v>21.04</v>
      </c>
      <c r="W56" s="133">
        <v>42676</v>
      </c>
      <c r="X56" s="10">
        <v>88.08</v>
      </c>
      <c r="Y56" s="10">
        <v>89.31</v>
      </c>
      <c r="Z56" s="10">
        <v>87.74</v>
      </c>
      <c r="AA56" s="10">
        <v>88.69</v>
      </c>
      <c r="AB56" s="95">
        <v>4437400</v>
      </c>
      <c r="AC56" s="10">
        <v>88.16</v>
      </c>
      <c r="AD56" s="2">
        <f t="shared" si="0"/>
        <v>1.5700000000000074</v>
      </c>
      <c r="AE56" s="138">
        <f t="shared" si="1"/>
        <v>9.042005264964903E-3</v>
      </c>
    </row>
    <row r="57" spans="1:31" x14ac:dyDescent="0.25">
      <c r="O57" s="83">
        <v>1</v>
      </c>
      <c r="P57" s="83">
        <f t="shared" si="3"/>
        <v>108.6</v>
      </c>
      <c r="Q57" s="83"/>
      <c r="R57"/>
      <c r="T57" s="87" t="s">
        <v>112</v>
      </c>
      <c r="U57" s="130">
        <v>5.4</v>
      </c>
      <c r="W57" s="133">
        <v>42675</v>
      </c>
      <c r="X57" s="10">
        <v>88.65</v>
      </c>
      <c r="Y57" s="10">
        <v>88.89</v>
      </c>
      <c r="Z57" s="10">
        <v>87.06</v>
      </c>
      <c r="AA57" s="10">
        <v>87.89</v>
      </c>
      <c r="AB57" s="95">
        <v>3980500</v>
      </c>
      <c r="AC57" s="10">
        <v>87.37</v>
      </c>
      <c r="AD57" s="2">
        <f t="shared" si="0"/>
        <v>1.8299999999999983</v>
      </c>
      <c r="AE57" s="138">
        <f t="shared" si="1"/>
        <v>-3.308236367784545E-3</v>
      </c>
    </row>
    <row r="58" spans="1:31" x14ac:dyDescent="0.25">
      <c r="O58" s="83">
        <v>0.99</v>
      </c>
      <c r="P58" s="83">
        <f t="shared" si="3"/>
        <v>107.514</v>
      </c>
      <c r="Q58" s="83"/>
      <c r="R58"/>
      <c r="T58" s="87" t="s">
        <v>109</v>
      </c>
      <c r="U58" s="130" t="s">
        <v>640</v>
      </c>
      <c r="W58" s="133">
        <v>42674</v>
      </c>
      <c r="X58" s="10">
        <v>88.75</v>
      </c>
      <c r="Y58" s="10">
        <v>89.07</v>
      </c>
      <c r="Z58" s="10">
        <v>88.11</v>
      </c>
      <c r="AA58" s="10">
        <v>88.18</v>
      </c>
      <c r="AB58" s="95">
        <v>3681200</v>
      </c>
      <c r="AC58" s="10">
        <v>87.66</v>
      </c>
      <c r="AD58" s="2">
        <f t="shared" si="0"/>
        <v>0.95999999999999375</v>
      </c>
      <c r="AE58" s="138">
        <f t="shared" si="1"/>
        <v>-2.1627774615822215E-3</v>
      </c>
    </row>
    <row r="59" spans="1:31" x14ac:dyDescent="0.25">
      <c r="O59" s="83">
        <v>0.98</v>
      </c>
      <c r="P59" s="83">
        <f t="shared" si="3"/>
        <v>106.428</v>
      </c>
      <c r="Q59" s="83"/>
      <c r="R59"/>
      <c r="W59" s="133">
        <v>42671</v>
      </c>
      <c r="X59" s="10">
        <v>88.94</v>
      </c>
      <c r="Y59" s="10">
        <v>89.32</v>
      </c>
      <c r="Z59" s="10">
        <v>87.79</v>
      </c>
      <c r="AA59" s="10">
        <v>88.37</v>
      </c>
      <c r="AB59" s="95">
        <v>3784400</v>
      </c>
      <c r="AC59" s="10">
        <v>87.85</v>
      </c>
      <c r="AD59" s="2">
        <f t="shared" si="0"/>
        <v>1.5299999999999869</v>
      </c>
      <c r="AE59" s="138">
        <f t="shared" si="1"/>
        <v>-4.9835768490203991E-3</v>
      </c>
    </row>
    <row r="60" spans="1:31" x14ac:dyDescent="0.25">
      <c r="O60" s="83">
        <v>0.97</v>
      </c>
      <c r="P60" s="83">
        <f t="shared" si="3"/>
        <v>105.34199999999998</v>
      </c>
      <c r="Q60" s="83"/>
      <c r="R60"/>
      <c r="W60" s="133">
        <v>42670</v>
      </c>
      <c r="X60" s="10">
        <v>89.21</v>
      </c>
      <c r="Y60" s="10">
        <v>89.39</v>
      </c>
      <c r="Z60" s="10">
        <v>88.58</v>
      </c>
      <c r="AA60" s="10">
        <v>88.82</v>
      </c>
      <c r="AB60" s="95">
        <v>4367100</v>
      </c>
      <c r="AC60" s="10">
        <v>88.29</v>
      </c>
      <c r="AD60" s="2">
        <f t="shared" si="0"/>
        <v>0.81000000000000227</v>
      </c>
      <c r="AE60" s="138">
        <f t="shared" si="1"/>
        <v>-2.5982828739267161E-3</v>
      </c>
    </row>
    <row r="61" spans="1:31" x14ac:dyDescent="0.25">
      <c r="O61" s="83">
        <v>0.96</v>
      </c>
      <c r="P61" s="83">
        <f t="shared" si="3"/>
        <v>104.25599999999999</v>
      </c>
      <c r="Q61" s="83"/>
      <c r="R61"/>
      <c r="W61" s="133">
        <v>42669</v>
      </c>
      <c r="X61" s="10">
        <v>90.02</v>
      </c>
      <c r="Y61" s="10">
        <v>90.02</v>
      </c>
      <c r="Z61" s="10">
        <v>88.63</v>
      </c>
      <c r="AA61" s="10">
        <v>89.05</v>
      </c>
      <c r="AB61" s="95">
        <v>4750200</v>
      </c>
      <c r="AC61" s="10">
        <v>88.52</v>
      </c>
      <c r="AD61" s="2">
        <f t="shared" si="0"/>
        <v>1.3900000000000006</v>
      </c>
      <c r="AE61" s="138">
        <f t="shared" si="1"/>
        <v>-1.0507489380728763E-2</v>
      </c>
    </row>
    <row r="62" spans="1:31" x14ac:dyDescent="0.25">
      <c r="O62" s="83">
        <v>0.95</v>
      </c>
      <c r="P62" s="83">
        <f t="shared" si="3"/>
        <v>103.16999999999999</v>
      </c>
      <c r="Q62" s="83"/>
      <c r="R62"/>
      <c r="W62" s="133">
        <v>42668</v>
      </c>
      <c r="X62" s="10">
        <v>89.73</v>
      </c>
      <c r="Y62" s="10">
        <v>90.42</v>
      </c>
      <c r="Z62" s="10">
        <v>89.15</v>
      </c>
      <c r="AA62" s="10">
        <v>89.99</v>
      </c>
      <c r="AB62" s="95">
        <v>5599100</v>
      </c>
      <c r="AC62" s="10">
        <v>89.46</v>
      </c>
      <c r="AD62" s="2">
        <f t="shared" si="0"/>
        <v>1.269999999999996</v>
      </c>
      <c r="AE62" s="138">
        <f t="shared" si="1"/>
        <v>1.2311135982092658E-3</v>
      </c>
    </row>
    <row r="63" spans="1:31" x14ac:dyDescent="0.25">
      <c r="O63" s="83">
        <v>0.94</v>
      </c>
      <c r="P63" s="83">
        <f t="shared" si="3"/>
        <v>102.08399999999999</v>
      </c>
      <c r="Q63" s="83"/>
      <c r="R63"/>
      <c r="T63" s="86"/>
      <c r="W63" s="133">
        <v>42667</v>
      </c>
      <c r="X63" s="10">
        <v>90.78</v>
      </c>
      <c r="Y63" s="10">
        <v>91.49</v>
      </c>
      <c r="Z63" s="10">
        <v>89.77</v>
      </c>
      <c r="AA63" s="10">
        <v>89.88</v>
      </c>
      <c r="AB63" s="95">
        <v>7038000</v>
      </c>
      <c r="AC63" s="10">
        <v>89.35</v>
      </c>
      <c r="AD63" s="2">
        <f t="shared" si="0"/>
        <v>1.7199999999999989</v>
      </c>
      <c r="AE63" s="138">
        <f t="shared" si="1"/>
        <v>-5.3434264722254099E-3</v>
      </c>
    </row>
    <row r="64" spans="1:31" x14ac:dyDescent="0.25">
      <c r="O64" s="83">
        <v>0.93</v>
      </c>
      <c r="P64" s="83">
        <f t="shared" si="3"/>
        <v>100.998</v>
      </c>
      <c r="Q64" s="83"/>
      <c r="R64"/>
      <c r="S64" s="86"/>
      <c r="T64"/>
      <c r="W64" s="133">
        <v>42664</v>
      </c>
      <c r="X64" s="10">
        <v>89.57</v>
      </c>
      <c r="Y64" s="10">
        <v>91.5</v>
      </c>
      <c r="Z64" s="10">
        <v>89.37</v>
      </c>
      <c r="AA64" s="10">
        <v>90.37</v>
      </c>
      <c r="AB64" s="95">
        <v>8288700</v>
      </c>
      <c r="AC64" s="10">
        <v>89.83</v>
      </c>
      <c r="AD64" s="2">
        <f t="shared" si="0"/>
        <v>2.1299999999999955</v>
      </c>
      <c r="AE64" s="138">
        <f t="shared" si="1"/>
        <v>-2.9966703662596128E-3</v>
      </c>
    </row>
    <row r="65" spans="15:31" x14ac:dyDescent="0.25">
      <c r="O65" s="83">
        <v>0.92</v>
      </c>
      <c r="P65" s="83">
        <f t="shared" si="3"/>
        <v>99.912000000000006</v>
      </c>
      <c r="Q65" s="83"/>
      <c r="R65"/>
      <c r="S65" s="86"/>
      <c r="T65"/>
      <c r="W65" s="133">
        <v>42663</v>
      </c>
      <c r="X65" s="10">
        <v>94.4</v>
      </c>
      <c r="Y65" s="10">
        <v>95</v>
      </c>
      <c r="Z65" s="10">
        <v>89.81</v>
      </c>
      <c r="AA65" s="10">
        <v>90.64</v>
      </c>
      <c r="AB65" s="95">
        <v>16101900</v>
      </c>
      <c r="AC65" s="10">
        <v>90.1</v>
      </c>
      <c r="AD65" s="2">
        <f t="shared" si="0"/>
        <v>5.1899999999999977</v>
      </c>
      <c r="AE65" s="138">
        <f t="shared" si="1"/>
        <v>-6.6708100269318504E-2</v>
      </c>
    </row>
    <row r="66" spans="15:31" x14ac:dyDescent="0.25">
      <c r="O66" s="83">
        <v>0.91</v>
      </c>
      <c r="P66" s="83">
        <f t="shared" si="3"/>
        <v>98.825999999999993</v>
      </c>
      <c r="Q66" s="83"/>
      <c r="R66"/>
      <c r="S66" s="86"/>
      <c r="T66"/>
      <c r="W66" s="133">
        <v>42662</v>
      </c>
      <c r="X66" s="10">
        <v>96.65</v>
      </c>
      <c r="Y66" s="10">
        <v>98.44</v>
      </c>
      <c r="Z66" s="10">
        <v>96.26</v>
      </c>
      <c r="AA66" s="10">
        <v>97.12</v>
      </c>
      <c r="AB66" s="95">
        <v>3706800</v>
      </c>
      <c r="AC66" s="10">
        <v>96.54</v>
      </c>
      <c r="AD66" s="2">
        <f t="shared" si="0"/>
        <v>2.1799999999999926</v>
      </c>
      <c r="AE66" s="138">
        <f t="shared" si="1"/>
        <v>4.0561622464898583E-3</v>
      </c>
    </row>
    <row r="67" spans="15:31" x14ac:dyDescent="0.25">
      <c r="O67" s="83">
        <v>0.9</v>
      </c>
      <c r="P67" s="83">
        <f t="shared" si="3"/>
        <v>97.74</v>
      </c>
      <c r="Q67" s="83"/>
      <c r="R67"/>
      <c r="S67" s="86"/>
      <c r="T67"/>
      <c r="W67" s="133">
        <v>42661</v>
      </c>
      <c r="X67" s="10">
        <v>97.6</v>
      </c>
      <c r="Y67" s="10">
        <v>98.07</v>
      </c>
      <c r="Z67" s="10">
        <v>96.67</v>
      </c>
      <c r="AA67" s="10">
        <v>96.72</v>
      </c>
      <c r="AB67" s="95">
        <v>3565800</v>
      </c>
      <c r="AC67" s="10">
        <v>96.15</v>
      </c>
      <c r="AD67" s="2">
        <f>Y67-Z67</f>
        <v>1.3999999999999915</v>
      </c>
      <c r="AE67" s="138">
        <f>AC67/AC68-1</f>
        <v>-5.197505197505059E-4</v>
      </c>
    </row>
    <row r="68" spans="15:31" x14ac:dyDescent="0.25">
      <c r="W68" s="133">
        <v>42660</v>
      </c>
      <c r="X68" s="10">
        <v>96.71</v>
      </c>
      <c r="Y68" s="10">
        <v>97.12</v>
      </c>
      <c r="Z68" s="10">
        <v>96.44</v>
      </c>
      <c r="AA68" s="10">
        <v>96.77</v>
      </c>
      <c r="AB68" s="95">
        <v>2363300</v>
      </c>
      <c r="AC68" s="10">
        <v>96.2</v>
      </c>
      <c r="AD68" s="2">
        <f>Y68-Z68</f>
        <v>0.68000000000000682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5" priority="11">
      <formula>F24&gt;0</formula>
    </cfRule>
    <cfRule type="expression" dxfId="504" priority="12">
      <formula>F24&lt;0</formula>
    </cfRule>
  </conditionalFormatting>
  <conditionalFormatting sqref="H27:H30">
    <cfRule type="expression" dxfId="503" priority="9">
      <formula>H27&gt;0</formula>
    </cfRule>
    <cfRule type="expression" dxfId="502" priority="10">
      <formula>H27&lt;0</formula>
    </cfRule>
  </conditionalFormatting>
  <conditionalFormatting sqref="F25">
    <cfRule type="expression" dxfId="501" priority="7">
      <formula>F25&gt;0</formula>
    </cfRule>
    <cfRule type="expression" dxfId="500" priority="8">
      <formula>F25&lt;0</formula>
    </cfRule>
  </conditionalFormatting>
  <conditionalFormatting sqref="H24:H26">
    <cfRule type="expression" dxfId="499" priority="5">
      <formula>H24&gt;0</formula>
    </cfRule>
    <cfRule type="expression" dxfId="498" priority="6">
      <formula>H24&lt;0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conditionalFormatting sqref="Q8">
    <cfRule type="expression" dxfId="495" priority="1">
      <formula>Q8&gt;0</formula>
    </cfRule>
    <cfRule type="expression" dxfId="49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45.93</v>
      </c>
      <c r="Y2" s="40">
        <v>46.41</v>
      </c>
      <c r="Z2" s="40">
        <v>45.41</v>
      </c>
      <c r="AA2" s="365">
        <v>45.63</v>
      </c>
      <c r="AB2" s="95">
        <v>736000</v>
      </c>
      <c r="AC2" s="243">
        <v>45.63</v>
      </c>
      <c r="AD2" s="2">
        <f>Y2-Z2</f>
        <v>1</v>
      </c>
      <c r="AE2" s="138">
        <f>AC2/AC3-1</f>
        <v>2.192021043403436E-4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45.63</v>
      </c>
      <c r="T3" s="121"/>
      <c r="W3" s="94">
        <v>42754</v>
      </c>
      <c r="X3" s="365">
        <v>45.76</v>
      </c>
      <c r="Y3" s="40">
        <v>46.36</v>
      </c>
      <c r="Z3" s="40">
        <v>45.39</v>
      </c>
      <c r="AA3" s="365">
        <v>45.62</v>
      </c>
      <c r="AB3" s="95">
        <v>1031300</v>
      </c>
      <c r="AC3" s="243">
        <v>45.62</v>
      </c>
      <c r="AD3" s="2">
        <f>Y3-Z3</f>
        <v>0.96999999999999886</v>
      </c>
      <c r="AE3" s="138">
        <f>AC3/AC4-1</f>
        <v>-1.0948105977667266E-3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45.63</v>
      </c>
      <c r="R4" s="527">
        <v>2.0000000000000001E-4</v>
      </c>
      <c r="T4" s="121"/>
      <c r="W4" s="94">
        <v>42753</v>
      </c>
      <c r="X4" s="365">
        <v>44.97</v>
      </c>
      <c r="Y4" s="40">
        <v>45.77</v>
      </c>
      <c r="Z4" s="40">
        <v>44.56</v>
      </c>
      <c r="AA4" s="365">
        <v>45.67</v>
      </c>
      <c r="AB4" s="95">
        <v>943000</v>
      </c>
      <c r="AC4" s="243">
        <v>45.67</v>
      </c>
      <c r="AD4" s="2">
        <f t="shared" ref="AD4:AD67" si="0">Y4-Z4</f>
        <v>1.2100000000000009</v>
      </c>
      <c r="AE4" s="138">
        <f t="shared" ref="AE4:AE67" si="1">AC4/AC5-1</f>
        <v>2.078676799284751E-2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45.08</v>
      </c>
      <c r="Y5" s="40">
        <v>45.22</v>
      </c>
      <c r="Z5" s="40">
        <v>44.2</v>
      </c>
      <c r="AA5" s="365">
        <v>44.74</v>
      </c>
      <c r="AB5" s="95">
        <v>905400</v>
      </c>
      <c r="AC5" s="243">
        <v>44.74</v>
      </c>
      <c r="AD5" s="2">
        <f t="shared" si="0"/>
        <v>1.019999999999996</v>
      </c>
      <c r="AE5" s="138">
        <f t="shared" si="1"/>
        <v>-4.6718576195773354E-3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45.49</v>
      </c>
      <c r="Y6" s="40">
        <v>45.49</v>
      </c>
      <c r="Z6" s="40">
        <v>44.84</v>
      </c>
      <c r="AA6" s="365">
        <v>44.95</v>
      </c>
      <c r="AB6" s="95">
        <v>547700</v>
      </c>
      <c r="AC6" s="243">
        <v>44.95</v>
      </c>
      <c r="AD6" s="2">
        <f t="shared" si="0"/>
        <v>0.64999999999999858</v>
      </c>
      <c r="AE6" s="138">
        <f t="shared" si="1"/>
        <v>-8.8202866593164453E-3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42747</v>
      </c>
      <c r="X7" s="365">
        <v>45.47</v>
      </c>
      <c r="Y7" s="40">
        <v>45.83</v>
      </c>
      <c r="Z7" s="40">
        <v>44.67</v>
      </c>
      <c r="AA7" s="365">
        <v>45.35</v>
      </c>
      <c r="AB7" s="95">
        <v>731500</v>
      </c>
      <c r="AC7" s="243">
        <v>45.35</v>
      </c>
      <c r="AD7" s="2">
        <f t="shared" si="0"/>
        <v>1.1599999999999966</v>
      </c>
      <c r="AE7" s="138">
        <f t="shared" si="1"/>
        <v>-8.7431693989070691E-3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45.01</v>
      </c>
      <c r="Y8" s="40">
        <v>45.82</v>
      </c>
      <c r="Z8" s="40">
        <v>44.72</v>
      </c>
      <c r="AA8" s="365">
        <v>45.75</v>
      </c>
      <c r="AB8" s="95">
        <v>870500</v>
      </c>
      <c r="AC8" s="243">
        <v>45.75</v>
      </c>
      <c r="AD8" s="2">
        <f t="shared" si="0"/>
        <v>1.1000000000000014</v>
      </c>
      <c r="AE8" s="138">
        <f t="shared" si="1"/>
        <v>1.1720477664750151E-2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44.33</v>
      </c>
      <c r="Y9" s="40">
        <v>45.36</v>
      </c>
      <c r="Z9" s="40">
        <v>44.33</v>
      </c>
      <c r="AA9" s="365">
        <v>45.22</v>
      </c>
      <c r="AB9" s="95">
        <v>1065500</v>
      </c>
      <c r="AC9" s="243">
        <v>45.22</v>
      </c>
      <c r="AD9" s="2">
        <f t="shared" si="0"/>
        <v>1.0300000000000011</v>
      </c>
      <c r="AE9" s="138">
        <f t="shared" si="1"/>
        <v>1.8697904933543619E-2</v>
      </c>
      <c r="AK9" s="234"/>
      <c r="AN9" s="234"/>
    </row>
    <row r="10" spans="1:40" ht="12.75" customHeight="1" x14ac:dyDescent="0.25">
      <c r="O10" s="11" t="s">
        <v>214</v>
      </c>
      <c r="Q10" s="2">
        <f>M37</f>
        <v>427.92000000000007</v>
      </c>
      <c r="W10" s="94">
        <v>42744</v>
      </c>
      <c r="X10" s="365">
        <v>44.14</v>
      </c>
      <c r="Y10" s="40">
        <v>44.7</v>
      </c>
      <c r="Z10" s="40">
        <v>43.9</v>
      </c>
      <c r="AA10" s="365">
        <v>44.39</v>
      </c>
      <c r="AB10" s="95">
        <v>855800</v>
      </c>
      <c r="AC10" s="243">
        <v>44.39</v>
      </c>
      <c r="AD10" s="2">
        <f t="shared" si="0"/>
        <v>0.80000000000000426</v>
      </c>
      <c r="AE10" s="138">
        <f t="shared" si="1"/>
        <v>3.1638418079096287E-3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44.75</v>
      </c>
      <c r="Y11" s="40">
        <v>44.92</v>
      </c>
      <c r="Z11" s="40">
        <v>44.06</v>
      </c>
      <c r="AA11" s="365">
        <v>44.25</v>
      </c>
      <c r="AB11" s="95">
        <v>932900</v>
      </c>
      <c r="AC11" s="243">
        <v>44.25</v>
      </c>
      <c r="AD11" s="2">
        <f t="shared" si="0"/>
        <v>0.85999999999999943</v>
      </c>
      <c r="AE11" s="138">
        <f t="shared" si="1"/>
        <v>-6.7340067340067034E-3</v>
      </c>
      <c r="AK11" s="234"/>
      <c r="AN11" s="234"/>
    </row>
    <row r="12" spans="1:40" x14ac:dyDescent="0.25">
      <c r="W12" s="94">
        <v>42740</v>
      </c>
      <c r="X12" s="365">
        <v>44.51</v>
      </c>
      <c r="Y12" s="40">
        <v>44.79</v>
      </c>
      <c r="Z12" s="40">
        <v>44.02</v>
      </c>
      <c r="AA12" s="365">
        <v>44.55</v>
      </c>
      <c r="AB12" s="95">
        <v>933700</v>
      </c>
      <c r="AC12" s="243">
        <v>44.55</v>
      </c>
      <c r="AD12" s="2">
        <f t="shared" si="0"/>
        <v>0.76999999999999602</v>
      </c>
      <c r="AE12" s="138">
        <f t="shared" si="1"/>
        <v>-4.9140049140050657E-3</v>
      </c>
    </row>
    <row r="13" spans="1:40" x14ac:dyDescent="0.25">
      <c r="W13" s="94">
        <v>42739</v>
      </c>
      <c r="X13" s="365">
        <v>43.1</v>
      </c>
      <c r="Y13" s="40">
        <v>44.89</v>
      </c>
      <c r="Z13" s="40">
        <v>42.78</v>
      </c>
      <c r="AA13" s="365">
        <v>44.77</v>
      </c>
      <c r="AB13" s="95">
        <v>1852500</v>
      </c>
      <c r="AC13" s="243">
        <v>44.77</v>
      </c>
      <c r="AD13" s="2">
        <f t="shared" si="0"/>
        <v>2.1099999999999994</v>
      </c>
      <c r="AE13" s="138">
        <f t="shared" si="1"/>
        <v>4.6272493573264795E-2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43.13</v>
      </c>
      <c r="Y14" s="40">
        <v>43.87</v>
      </c>
      <c r="Z14" s="40">
        <v>42.64</v>
      </c>
      <c r="AA14" s="365">
        <v>42.79</v>
      </c>
      <c r="AB14" s="95">
        <v>1618500</v>
      </c>
      <c r="AC14" s="243">
        <v>42.79</v>
      </c>
      <c r="AD14" s="2">
        <f t="shared" si="0"/>
        <v>1.2299999999999969</v>
      </c>
      <c r="AE14" s="138">
        <f t="shared" si="1"/>
        <v>6.1133317658124131E-3</v>
      </c>
    </row>
    <row r="15" spans="1:40" x14ac:dyDescent="0.25">
      <c r="W15" s="94">
        <v>42734</v>
      </c>
      <c r="X15" s="365">
        <v>42.62</v>
      </c>
      <c r="Y15" s="40">
        <v>42.97</v>
      </c>
      <c r="Z15" s="40">
        <v>42.1</v>
      </c>
      <c r="AA15" s="365">
        <v>42.53</v>
      </c>
      <c r="AB15" s="95">
        <v>856900</v>
      </c>
      <c r="AC15" s="243">
        <v>42.53</v>
      </c>
      <c r="AD15" s="2">
        <f t="shared" si="0"/>
        <v>0.86999999999999744</v>
      </c>
      <c r="AE15" s="138">
        <f t="shared" si="1"/>
        <v>-3.0473511486168725E-3</v>
      </c>
      <c r="AK15" s="234"/>
      <c r="AN15" s="234"/>
    </row>
    <row r="16" spans="1:40" x14ac:dyDescent="0.25">
      <c r="W16" s="94">
        <v>42733</v>
      </c>
      <c r="X16" s="365">
        <v>42.93</v>
      </c>
      <c r="Y16" s="40">
        <v>43.45</v>
      </c>
      <c r="Z16" s="40">
        <v>42.04</v>
      </c>
      <c r="AA16" s="365">
        <v>42.66</v>
      </c>
      <c r="AB16" s="95">
        <v>2178400</v>
      </c>
      <c r="AC16" s="243">
        <v>42.66</v>
      </c>
      <c r="AD16" s="2">
        <f t="shared" si="0"/>
        <v>1.4100000000000037</v>
      </c>
      <c r="AE16" s="138">
        <f t="shared" si="1"/>
        <v>-6.2893081761007386E-3</v>
      </c>
    </row>
    <row r="17" spans="1:40" x14ac:dyDescent="0.25">
      <c r="W17" s="94">
        <v>42732</v>
      </c>
      <c r="X17" s="365">
        <v>43.68</v>
      </c>
      <c r="Y17" s="40">
        <v>43.68</v>
      </c>
      <c r="Z17" s="40">
        <v>42.89</v>
      </c>
      <c r="AA17" s="365">
        <v>42.93</v>
      </c>
      <c r="AB17" s="95">
        <v>718800</v>
      </c>
      <c r="AC17" s="243">
        <v>42.93</v>
      </c>
      <c r="AD17" s="2">
        <f t="shared" si="0"/>
        <v>0.78999999999999915</v>
      </c>
      <c r="AE17" s="138">
        <f t="shared" si="1"/>
        <v>-1.7395284962233859E-2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43.62</v>
      </c>
      <c r="Y18" s="40">
        <v>44.53</v>
      </c>
      <c r="Z18" s="40">
        <v>43.53</v>
      </c>
      <c r="AA18" s="365">
        <v>43.69</v>
      </c>
      <c r="AB18" s="95">
        <v>442700</v>
      </c>
      <c r="AC18" s="243">
        <v>43.69</v>
      </c>
      <c r="AD18" s="2">
        <f t="shared" si="0"/>
        <v>1</v>
      </c>
      <c r="AE18" s="138">
        <f t="shared" si="1"/>
        <v>4.1369800045967242E-3</v>
      </c>
    </row>
    <row r="19" spans="1:40" x14ac:dyDescent="0.25">
      <c r="W19" s="94">
        <v>42727</v>
      </c>
      <c r="X19" s="365">
        <v>43.51</v>
      </c>
      <c r="Y19" s="40">
        <v>43.7</v>
      </c>
      <c r="Z19" s="40">
        <v>43.16</v>
      </c>
      <c r="AA19" s="365">
        <v>43.51</v>
      </c>
      <c r="AB19" s="95">
        <v>1474300</v>
      </c>
      <c r="AC19" s="243">
        <v>43.51</v>
      </c>
      <c r="AD19" s="2">
        <f t="shared" si="0"/>
        <v>0.54000000000000625</v>
      </c>
      <c r="AE19" s="138">
        <f t="shared" si="1"/>
        <v>2.9967727063162641E-3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44.83</v>
      </c>
      <c r="Y20" s="40">
        <v>44.87</v>
      </c>
      <c r="Z20" s="40">
        <v>43.33</v>
      </c>
      <c r="AA20" s="365">
        <v>43.38</v>
      </c>
      <c r="AB20" s="95">
        <v>1050700</v>
      </c>
      <c r="AC20" s="243">
        <v>43.38</v>
      </c>
      <c r="AD20" s="2">
        <f t="shared" si="0"/>
        <v>1.5399999999999991</v>
      </c>
      <c r="AE20" s="138">
        <f t="shared" si="1"/>
        <v>-3.449810816826171E-2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42725</v>
      </c>
      <c r="X21" s="365">
        <v>45.02</v>
      </c>
      <c r="Y21" s="40">
        <v>45.16</v>
      </c>
      <c r="Z21" s="40">
        <v>44.63</v>
      </c>
      <c r="AA21" s="365">
        <v>44.93</v>
      </c>
      <c r="AB21" s="95">
        <v>658600</v>
      </c>
      <c r="AC21" s="243">
        <v>44.93</v>
      </c>
      <c r="AD21" s="2">
        <f t="shared" si="0"/>
        <v>0.52999999999999403</v>
      </c>
      <c r="AE21" s="138">
        <f t="shared" si="1"/>
        <v>2.2261798753331341E-4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42724</v>
      </c>
      <c r="X22" s="365">
        <v>43.52</v>
      </c>
      <c r="Y22" s="40">
        <v>45.5</v>
      </c>
      <c r="Z22" s="40">
        <v>43.26</v>
      </c>
      <c r="AA22" s="365">
        <v>44.92</v>
      </c>
      <c r="AB22" s="95">
        <v>1891900</v>
      </c>
      <c r="AC22" s="243">
        <v>44.92</v>
      </c>
      <c r="AD22" s="2">
        <f t="shared" si="0"/>
        <v>2.240000000000002</v>
      </c>
      <c r="AE22" s="138">
        <f t="shared" si="1"/>
        <v>4.3195541105434332E-2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42723</v>
      </c>
      <c r="X23" s="365">
        <v>43.97</v>
      </c>
      <c r="Y23" s="40">
        <v>43.97</v>
      </c>
      <c r="Z23" s="40">
        <v>42.9</v>
      </c>
      <c r="AA23" s="365">
        <v>43.06</v>
      </c>
      <c r="AB23" s="95">
        <v>1362900</v>
      </c>
      <c r="AC23" s="243">
        <v>43.06</v>
      </c>
      <c r="AD23" s="2">
        <f t="shared" si="0"/>
        <v>1.0700000000000003</v>
      </c>
      <c r="AE23" s="138">
        <f t="shared" si="1"/>
        <v>-2.4246544300929096E-2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42720</v>
      </c>
      <c r="X24" s="365">
        <v>45.2</v>
      </c>
      <c r="Y24" s="40">
        <v>45.2</v>
      </c>
      <c r="Z24" s="40">
        <v>43.81</v>
      </c>
      <c r="AA24" s="365">
        <v>44.13</v>
      </c>
      <c r="AB24" s="95">
        <v>1968000</v>
      </c>
      <c r="AC24" s="243">
        <v>44.13</v>
      </c>
      <c r="AD24" s="2">
        <f t="shared" si="0"/>
        <v>1.3900000000000006</v>
      </c>
      <c r="AE24" s="138">
        <f t="shared" si="1"/>
        <v>-2.2374833850243636E-2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42719</v>
      </c>
      <c r="X25" s="365">
        <v>44.17</v>
      </c>
      <c r="Y25" s="40">
        <v>45.37</v>
      </c>
      <c r="Z25" s="40">
        <v>43.52</v>
      </c>
      <c r="AA25" s="365">
        <v>45.14</v>
      </c>
      <c r="AB25" s="95">
        <v>2064000</v>
      </c>
      <c r="AC25" s="243">
        <v>45.14</v>
      </c>
      <c r="AD25" s="2">
        <f t="shared" si="0"/>
        <v>1.8499999999999943</v>
      </c>
      <c r="AE25" s="138">
        <f t="shared" si="1"/>
        <v>2.5210084033613356E-2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42718</v>
      </c>
      <c r="X26" s="365">
        <v>43.92</v>
      </c>
      <c r="Y26" s="40">
        <v>44.91</v>
      </c>
      <c r="Z26" s="40">
        <v>43.65</v>
      </c>
      <c r="AA26" s="365">
        <v>44.03</v>
      </c>
      <c r="AB26" s="95">
        <v>1342800</v>
      </c>
      <c r="AC26" s="243">
        <v>44.03</v>
      </c>
      <c r="AD26" s="2">
        <f t="shared" si="0"/>
        <v>1.259999999999998</v>
      </c>
      <c r="AE26" s="138">
        <f t="shared" si="1"/>
        <v>2.9612756264236761E-3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42717</v>
      </c>
      <c r="X27" s="365">
        <v>44.04</v>
      </c>
      <c r="Y27" s="40">
        <v>44.16</v>
      </c>
      <c r="Z27" s="40">
        <v>43.58</v>
      </c>
      <c r="AA27" s="365">
        <v>43.9</v>
      </c>
      <c r="AB27" s="95">
        <v>1274800</v>
      </c>
      <c r="AC27" s="243">
        <v>43.9</v>
      </c>
      <c r="AD27" s="2">
        <f t="shared" si="0"/>
        <v>0.57999999999999829</v>
      </c>
      <c r="AE27" s="138">
        <f t="shared" si="1"/>
        <v>-2.0459195271653741E-3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42716</v>
      </c>
      <c r="X28" s="365">
        <v>44.21</v>
      </c>
      <c r="Y28" s="40">
        <v>44.38</v>
      </c>
      <c r="Z28" s="40">
        <v>43.32</v>
      </c>
      <c r="AA28" s="365">
        <v>43.99</v>
      </c>
      <c r="AB28" s="95">
        <v>1906800</v>
      </c>
      <c r="AC28" s="243">
        <v>43.99</v>
      </c>
      <c r="AD28" s="2">
        <f t="shared" si="0"/>
        <v>1.0600000000000023</v>
      </c>
      <c r="AE28" s="138">
        <f t="shared" si="1"/>
        <v>-1.1460674157303341E-2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42713</v>
      </c>
      <c r="X29" s="365">
        <v>44.19</v>
      </c>
      <c r="Y29" s="40">
        <v>44.7</v>
      </c>
      <c r="Z29" s="40">
        <v>43.76</v>
      </c>
      <c r="AA29" s="365">
        <v>44.5</v>
      </c>
      <c r="AB29" s="95">
        <v>1182900</v>
      </c>
      <c r="AC29" s="243">
        <v>44.5</v>
      </c>
      <c r="AD29" s="2">
        <f t="shared" si="0"/>
        <v>0.94000000000000483</v>
      </c>
      <c r="AE29" s="138">
        <f t="shared" si="1"/>
        <v>1.0904134484325256E-2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42712</v>
      </c>
      <c r="X30" s="365">
        <v>42.77</v>
      </c>
      <c r="Y30" s="40">
        <v>44.17</v>
      </c>
      <c r="Z30" s="40">
        <v>42.38</v>
      </c>
      <c r="AA30" s="365">
        <v>44.02</v>
      </c>
      <c r="AB30" s="95">
        <v>2234100</v>
      </c>
      <c r="AC30" s="243">
        <v>44.02</v>
      </c>
      <c r="AD30" s="2">
        <f t="shared" si="0"/>
        <v>1.7899999999999991</v>
      </c>
      <c r="AE30" s="138">
        <f t="shared" si="1"/>
        <v>3.1879981247070033E-2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42711</v>
      </c>
      <c r="X31" s="365">
        <v>41.27</v>
      </c>
      <c r="Y31" s="40">
        <v>42.86</v>
      </c>
      <c r="Z31" s="40">
        <v>41.08</v>
      </c>
      <c r="AA31" s="365">
        <v>42.66</v>
      </c>
      <c r="AB31" s="95">
        <v>1446100</v>
      </c>
      <c r="AC31" s="243">
        <v>42.66</v>
      </c>
      <c r="AD31" s="2">
        <f t="shared" si="0"/>
        <v>1.7800000000000011</v>
      </c>
      <c r="AE31" s="138">
        <f t="shared" si="1"/>
        <v>3.4181818181818091E-2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42710</v>
      </c>
      <c r="X32" s="365">
        <v>40.880000000000003</v>
      </c>
      <c r="Y32" s="40">
        <v>41.41</v>
      </c>
      <c r="Z32" s="40">
        <v>40.47</v>
      </c>
      <c r="AA32" s="365">
        <v>41.25</v>
      </c>
      <c r="AB32" s="95">
        <v>1151400</v>
      </c>
      <c r="AC32" s="243">
        <v>41.25</v>
      </c>
      <c r="AD32" s="2">
        <f t="shared" si="0"/>
        <v>0.93999999999999773</v>
      </c>
      <c r="AE32" s="138">
        <f t="shared" si="1"/>
        <v>1.5009842519684957E-2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42709</v>
      </c>
      <c r="X33" s="365">
        <v>39.700000000000003</v>
      </c>
      <c r="Y33" s="40">
        <v>40.99</v>
      </c>
      <c r="Z33" s="40">
        <v>39.479999999999997</v>
      </c>
      <c r="AA33" s="365">
        <v>40.64</v>
      </c>
      <c r="AB33" s="95">
        <v>1406200</v>
      </c>
      <c r="AC33" s="243">
        <v>40.64</v>
      </c>
      <c r="AD33" s="2">
        <f t="shared" si="0"/>
        <v>1.5100000000000051</v>
      </c>
      <c r="AE33" s="138">
        <f t="shared" si="1"/>
        <v>3.4623217922606919E-2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38.71</v>
      </c>
      <c r="Y34" s="40">
        <v>39.33</v>
      </c>
      <c r="Z34" s="40">
        <v>38.659999999999997</v>
      </c>
      <c r="AA34" s="365">
        <v>39.28</v>
      </c>
      <c r="AB34" s="95">
        <v>1092300</v>
      </c>
      <c r="AC34" s="243">
        <v>39.28</v>
      </c>
      <c r="AD34" s="2">
        <f t="shared" si="0"/>
        <v>0.67000000000000171</v>
      </c>
      <c r="AE34" s="138">
        <f t="shared" si="1"/>
        <v>1.1068211068210987E-2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39.869999999999997</v>
      </c>
      <c r="Y35" s="40">
        <v>40.28</v>
      </c>
      <c r="Z35" s="40">
        <v>38.68</v>
      </c>
      <c r="AA35" s="365">
        <v>38.85</v>
      </c>
      <c r="AB35" s="95">
        <v>1323700</v>
      </c>
      <c r="AC35" s="243">
        <v>38.85</v>
      </c>
      <c r="AD35" s="2">
        <f t="shared" si="0"/>
        <v>1.6000000000000014</v>
      </c>
      <c r="AE35" s="138">
        <f t="shared" si="1"/>
        <v>-2.4114544084400946E-2</v>
      </c>
    </row>
    <row r="36" spans="1:31" x14ac:dyDescent="0.25">
      <c r="W36" s="94">
        <v>42704</v>
      </c>
      <c r="X36" s="365">
        <v>40.479999999999997</v>
      </c>
      <c r="Y36" s="40">
        <v>40.479999999999997</v>
      </c>
      <c r="Z36" s="40">
        <v>39.32</v>
      </c>
      <c r="AA36" s="365">
        <v>39.81</v>
      </c>
      <c r="AB36" s="95">
        <v>1752300</v>
      </c>
      <c r="AC36" s="243">
        <v>39.81</v>
      </c>
      <c r="AD36" s="2">
        <f t="shared" si="0"/>
        <v>1.1599999999999966</v>
      </c>
      <c r="AE36" s="138">
        <f t="shared" si="1"/>
        <v>-2.2107590272660294E-2</v>
      </c>
    </row>
    <row r="37" spans="1:31" x14ac:dyDescent="0.25">
      <c r="L37" t="s">
        <v>214</v>
      </c>
      <c r="M37" s="2">
        <f>M55+K55-F55</f>
        <v>427.92000000000007</v>
      </c>
      <c r="W37" s="94">
        <v>42703</v>
      </c>
      <c r="X37" s="365">
        <v>40.31</v>
      </c>
      <c r="Y37" s="40">
        <v>40.71</v>
      </c>
      <c r="Z37" s="40">
        <v>40.090000000000003</v>
      </c>
      <c r="AA37" s="365">
        <v>40.71</v>
      </c>
      <c r="AB37" s="95">
        <v>1220600</v>
      </c>
      <c r="AC37" s="243">
        <v>40.71</v>
      </c>
      <c r="AD37" s="2">
        <f t="shared" si="0"/>
        <v>0.61999999999999744</v>
      </c>
      <c r="AE37" s="138">
        <f t="shared" si="1"/>
        <v>1.5211970074813008E-2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40.51</v>
      </c>
      <c r="Y38" s="40">
        <v>40.659999999999997</v>
      </c>
      <c r="Z38" s="40">
        <v>39.770000000000003</v>
      </c>
      <c r="AA38" s="365">
        <v>40.1</v>
      </c>
      <c r="AB38" s="95">
        <v>1525400</v>
      </c>
      <c r="AC38" s="243">
        <v>40.1</v>
      </c>
      <c r="AD38" s="2">
        <f t="shared" si="0"/>
        <v>0.88999999999999346</v>
      </c>
      <c r="AE38" s="138">
        <f t="shared" si="1"/>
        <v>-1.1828486939378879E-2</v>
      </c>
    </row>
    <row r="39" spans="1:31" ht="20.25" thickBot="1" x14ac:dyDescent="0.35">
      <c r="A39" s="265" t="s">
        <v>288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365">
        <v>39.96</v>
      </c>
      <c r="Y39" s="40">
        <v>40.590000000000003</v>
      </c>
      <c r="Z39" s="40">
        <v>39.65</v>
      </c>
      <c r="AA39" s="365">
        <v>40.58</v>
      </c>
      <c r="AB39" s="95">
        <v>510700</v>
      </c>
      <c r="AC39" s="243">
        <v>40.58</v>
      </c>
      <c r="AD39" s="2">
        <f t="shared" si="0"/>
        <v>0.94000000000000483</v>
      </c>
      <c r="AE39" s="138">
        <f t="shared" si="1"/>
        <v>1.5007503751875984E-2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50.193000000000005</v>
      </c>
      <c r="R40" s="34"/>
      <c r="T40" s="97" t="s">
        <v>98</v>
      </c>
      <c r="U40" s="129">
        <v>45.62</v>
      </c>
      <c r="W40" s="94">
        <v>42697</v>
      </c>
      <c r="X40" s="365">
        <v>39.31</v>
      </c>
      <c r="Y40" s="40">
        <v>40.21</v>
      </c>
      <c r="Z40" s="40">
        <v>39.31</v>
      </c>
      <c r="AA40" s="365">
        <v>39.979999999999997</v>
      </c>
      <c r="AB40" s="95">
        <v>1123000</v>
      </c>
      <c r="AC40" s="243">
        <v>39.979999999999997</v>
      </c>
      <c r="AD40" s="2">
        <f t="shared" si="0"/>
        <v>0.89999999999999858</v>
      </c>
      <c r="AE40" s="138">
        <f t="shared" si="1"/>
        <v>-6.7080745341615566E-3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49.736700000000006</v>
      </c>
      <c r="R41" s="34"/>
      <c r="T41" s="87" t="s">
        <v>99</v>
      </c>
      <c r="U41" s="130">
        <v>45.93</v>
      </c>
      <c r="W41" s="94">
        <v>42696</v>
      </c>
      <c r="X41" s="365">
        <v>39.85</v>
      </c>
      <c r="Y41" s="40">
        <v>40.35</v>
      </c>
      <c r="Z41" s="40">
        <v>39.46</v>
      </c>
      <c r="AA41" s="365">
        <v>40.25</v>
      </c>
      <c r="AB41" s="95">
        <v>1451900</v>
      </c>
      <c r="AC41" s="243">
        <v>40.25</v>
      </c>
      <c r="AD41" s="2">
        <f t="shared" si="0"/>
        <v>0.89000000000000057</v>
      </c>
      <c r="AE41" s="138">
        <f t="shared" si="1"/>
        <v>1.6670876483960484E-2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49.280400000000007</v>
      </c>
      <c r="R42" s="34"/>
      <c r="T42" s="87" t="s">
        <v>100</v>
      </c>
      <c r="U42" s="130" t="s">
        <v>538</v>
      </c>
      <c r="W42" s="94">
        <v>42695</v>
      </c>
      <c r="X42" s="365">
        <v>39.79</v>
      </c>
      <c r="Y42" s="40">
        <v>40.119999999999997</v>
      </c>
      <c r="Z42" s="40">
        <v>39.46</v>
      </c>
      <c r="AA42" s="365">
        <v>39.590000000000003</v>
      </c>
      <c r="AB42" s="95">
        <v>1324100</v>
      </c>
      <c r="AC42" s="243">
        <v>39.590000000000003</v>
      </c>
      <c r="AD42" s="2">
        <f t="shared" si="0"/>
        <v>0.65999999999999659</v>
      </c>
      <c r="AE42" s="138">
        <f t="shared" si="1"/>
        <v>-2.2681451612902581E-3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48.824100000000008</v>
      </c>
      <c r="R43" s="83"/>
      <c r="T43" s="87" t="s">
        <v>101</v>
      </c>
      <c r="U43" s="130" t="s">
        <v>539</v>
      </c>
      <c r="W43" s="94">
        <v>42692</v>
      </c>
      <c r="X43" s="365">
        <v>39.68</v>
      </c>
      <c r="Y43" s="40">
        <v>40.07</v>
      </c>
      <c r="Z43" s="40">
        <v>39.14</v>
      </c>
      <c r="AA43" s="365">
        <v>39.68</v>
      </c>
      <c r="AB43" s="95">
        <v>1597400</v>
      </c>
      <c r="AC43" s="243">
        <v>39.68</v>
      </c>
      <c r="AD43" s="2">
        <f t="shared" si="0"/>
        <v>0.92999999999999972</v>
      </c>
      <c r="AE43" s="138">
        <f t="shared" si="1"/>
        <v>-3.7660055234747247E-3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48.367800000000003</v>
      </c>
      <c r="R44" s="83"/>
      <c r="T44" s="87" t="s">
        <v>102</v>
      </c>
      <c r="U44" s="130">
        <v>46.06</v>
      </c>
      <c r="W44" s="94">
        <v>42691</v>
      </c>
      <c r="X44" s="365">
        <v>39.6</v>
      </c>
      <c r="Y44" s="40">
        <v>40.049999999999997</v>
      </c>
      <c r="Z44" s="40">
        <v>39.33</v>
      </c>
      <c r="AA44" s="365">
        <v>39.83</v>
      </c>
      <c r="AB44" s="95">
        <v>1294200</v>
      </c>
      <c r="AC44" s="243">
        <v>39.83</v>
      </c>
      <c r="AD44" s="2">
        <f t="shared" si="0"/>
        <v>0.71999999999999886</v>
      </c>
      <c r="AE44" s="138">
        <f t="shared" si="1"/>
        <v>6.5706343189284588E-3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47.911500000000004</v>
      </c>
      <c r="R45" s="83"/>
      <c r="T45" s="87" t="s">
        <v>103</v>
      </c>
      <c r="U45" s="130">
        <v>1.37337</v>
      </c>
      <c r="W45" s="94">
        <v>42690</v>
      </c>
      <c r="X45" s="365">
        <v>40.130000000000003</v>
      </c>
      <c r="Y45" s="40">
        <v>40.130000000000003</v>
      </c>
      <c r="Z45" s="40">
        <v>39.1</v>
      </c>
      <c r="AA45" s="365">
        <v>39.57</v>
      </c>
      <c r="AB45" s="95">
        <v>1252400</v>
      </c>
      <c r="AC45" s="243">
        <v>39.57</v>
      </c>
      <c r="AD45" s="2">
        <f t="shared" si="0"/>
        <v>1.0300000000000011</v>
      </c>
      <c r="AE45" s="138">
        <f t="shared" si="1"/>
        <v>-1.4936519790888725E-2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47.455200000000005</v>
      </c>
      <c r="R46" s="83"/>
      <c r="T46" s="87" t="s">
        <v>122</v>
      </c>
      <c r="U46" s="232" t="s">
        <v>343</v>
      </c>
      <c r="W46" s="94">
        <v>42689</v>
      </c>
      <c r="X46" s="365">
        <v>41.49</v>
      </c>
      <c r="Y46" s="40">
        <v>41.49</v>
      </c>
      <c r="Z46" s="40">
        <v>40.1</v>
      </c>
      <c r="AA46" s="365">
        <v>40.17</v>
      </c>
      <c r="AB46" s="95">
        <v>1996800</v>
      </c>
      <c r="AC46" s="243">
        <v>40.17</v>
      </c>
      <c r="AD46" s="2">
        <f t="shared" si="0"/>
        <v>1.3900000000000006</v>
      </c>
      <c r="AE46" s="138">
        <f t="shared" si="1"/>
        <v>-2.8301886792452824E-2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46.998900000000006</v>
      </c>
      <c r="R47" s="83"/>
      <c r="T47" s="87"/>
      <c r="U47" s="130"/>
      <c r="W47" s="94">
        <v>42688</v>
      </c>
      <c r="X47" s="365">
        <v>38.5</v>
      </c>
      <c r="Y47" s="40">
        <v>41.61</v>
      </c>
      <c r="Z47" s="40">
        <v>38.5</v>
      </c>
      <c r="AA47" s="365">
        <v>41.34</v>
      </c>
      <c r="AB47" s="95">
        <v>3492900</v>
      </c>
      <c r="AC47" s="243">
        <v>41.34</v>
      </c>
      <c r="AD47" s="2">
        <f t="shared" si="0"/>
        <v>3.1099999999999994</v>
      </c>
      <c r="AE47" s="138">
        <f t="shared" si="1"/>
        <v>7.6002082248828762E-2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46.5426</v>
      </c>
      <c r="R48" s="83"/>
      <c r="T48" s="87" t="s">
        <v>105</v>
      </c>
      <c r="U48" s="130" t="s">
        <v>540</v>
      </c>
      <c r="W48" s="94">
        <v>42685</v>
      </c>
      <c r="X48" s="365">
        <v>37.68</v>
      </c>
      <c r="Y48" s="40">
        <v>39.04</v>
      </c>
      <c r="Z48" s="40">
        <v>37.07</v>
      </c>
      <c r="AA48" s="365">
        <v>38.42</v>
      </c>
      <c r="AB48" s="95">
        <v>3202300</v>
      </c>
      <c r="AC48" s="243">
        <v>38.42</v>
      </c>
      <c r="AD48" s="2">
        <f t="shared" si="0"/>
        <v>1.9699999999999989</v>
      </c>
      <c r="AE48" s="138">
        <f t="shared" si="1"/>
        <v>1.1851461680274067E-2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46.086300000000001</v>
      </c>
      <c r="R49" s="83"/>
      <c r="T49" s="87" t="s">
        <v>106</v>
      </c>
      <c r="U49" s="130" t="s">
        <v>432</v>
      </c>
      <c r="W49" s="94">
        <v>42684</v>
      </c>
      <c r="X49" s="365">
        <v>35.799999999999997</v>
      </c>
      <c r="Y49" s="40">
        <v>38.520000000000003</v>
      </c>
      <c r="Z49" s="40">
        <v>35.799999999999997</v>
      </c>
      <c r="AA49" s="365">
        <v>37.97</v>
      </c>
      <c r="AB49" s="95">
        <v>4985600</v>
      </c>
      <c r="AC49" s="243">
        <v>37.97</v>
      </c>
      <c r="AD49" s="2">
        <f t="shared" si="0"/>
        <v>2.720000000000006</v>
      </c>
      <c r="AE49" s="138">
        <f t="shared" si="1"/>
        <v>6.8674359696031528E-2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45.63</v>
      </c>
      <c r="R50" s="83"/>
      <c r="T50" s="87" t="s">
        <v>107</v>
      </c>
      <c r="U50" s="131">
        <v>735986</v>
      </c>
      <c r="W50" s="94">
        <v>42683</v>
      </c>
      <c r="X50" s="365">
        <v>36.82</v>
      </c>
      <c r="Y50" s="40">
        <v>38.299999999999997</v>
      </c>
      <c r="Z50" s="40">
        <v>35.21</v>
      </c>
      <c r="AA50" s="365">
        <v>35.53</v>
      </c>
      <c r="AB50" s="95">
        <v>5487500</v>
      </c>
      <c r="AC50" s="243">
        <v>35.53</v>
      </c>
      <c r="AD50" s="2">
        <f t="shared" si="0"/>
        <v>3.0899999999999963</v>
      </c>
      <c r="AE50" s="138">
        <f t="shared" si="1"/>
        <v>-9.2001022233580421E-2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45.173700000000004</v>
      </c>
      <c r="R51" s="83"/>
      <c r="T51" s="87" t="s">
        <v>110</v>
      </c>
      <c r="U51" s="131">
        <v>1641350</v>
      </c>
      <c r="W51" s="94">
        <v>42682</v>
      </c>
      <c r="X51" s="365">
        <v>37.840000000000003</v>
      </c>
      <c r="Y51" s="40">
        <v>39.25</v>
      </c>
      <c r="Z51" s="40">
        <v>37.47</v>
      </c>
      <c r="AA51" s="365">
        <v>39.130000000000003</v>
      </c>
      <c r="AB51" s="95">
        <v>3036100</v>
      </c>
      <c r="AC51" s="243">
        <v>39.130000000000003</v>
      </c>
      <c r="AD51" s="2">
        <f t="shared" si="0"/>
        <v>1.7800000000000011</v>
      </c>
      <c r="AE51" s="138">
        <f t="shared" si="1"/>
        <v>3.436426116838498E-2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44.717400000000005</v>
      </c>
      <c r="R52" s="83"/>
      <c r="T52" s="87" t="s">
        <v>108</v>
      </c>
      <c r="U52" s="130" t="s">
        <v>541</v>
      </c>
      <c r="W52" s="94">
        <v>42681</v>
      </c>
      <c r="X52" s="365">
        <v>37.69</v>
      </c>
      <c r="Y52" s="40">
        <v>37.86</v>
      </c>
      <c r="Z52" s="40">
        <v>37.42</v>
      </c>
      <c r="AA52" s="365">
        <v>37.83</v>
      </c>
      <c r="AB52" s="95">
        <v>2555400</v>
      </c>
      <c r="AC52" s="243">
        <v>37.83</v>
      </c>
      <c r="AD52" s="2">
        <f t="shared" si="0"/>
        <v>0.43999999999999773</v>
      </c>
      <c r="AE52" s="138">
        <f t="shared" si="1"/>
        <v>2.2432432432432314E-2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44.261099999999999</v>
      </c>
      <c r="R53" s="83"/>
      <c r="T53" s="87" t="s">
        <v>111</v>
      </c>
      <c r="U53" s="130">
        <v>17.38</v>
      </c>
      <c r="W53" s="94">
        <v>42678</v>
      </c>
      <c r="X53" s="365">
        <v>36.869999999999997</v>
      </c>
      <c r="Y53" s="40">
        <v>37.79</v>
      </c>
      <c r="Z53" s="40">
        <v>36.869999999999997</v>
      </c>
      <c r="AA53" s="365">
        <v>37</v>
      </c>
      <c r="AB53" s="95">
        <v>1232300</v>
      </c>
      <c r="AC53" s="243">
        <v>37</v>
      </c>
      <c r="AD53" s="2">
        <f t="shared" si="0"/>
        <v>0.92000000000000171</v>
      </c>
      <c r="AE53" s="138">
        <f t="shared" si="1"/>
        <v>-5.6436441816716254E-3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43.8048</v>
      </c>
      <c r="R54" s="83"/>
      <c r="T54" s="87" t="s">
        <v>112</v>
      </c>
      <c r="U54" s="130">
        <v>2.63</v>
      </c>
      <c r="W54" s="94">
        <v>42677</v>
      </c>
      <c r="X54" s="365">
        <v>37.6</v>
      </c>
      <c r="Y54" s="40">
        <v>37.85</v>
      </c>
      <c r="Z54" s="40">
        <v>37.020000000000003</v>
      </c>
      <c r="AA54" s="365">
        <v>37.21</v>
      </c>
      <c r="AB54" s="95">
        <v>1502000</v>
      </c>
      <c r="AC54" s="243">
        <v>37.21</v>
      </c>
      <c r="AD54" s="2">
        <f t="shared" si="0"/>
        <v>0.82999999999999829</v>
      </c>
      <c r="AE54" s="138">
        <f t="shared" si="1"/>
        <v>-7.4686583088824365E-3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43.348500000000001</v>
      </c>
      <c r="R55" s="83"/>
      <c r="T55" s="87" t="s">
        <v>109</v>
      </c>
      <c r="U55" s="130" t="s">
        <v>123</v>
      </c>
      <c r="W55" s="94">
        <v>42676</v>
      </c>
      <c r="X55" s="365">
        <v>37.79</v>
      </c>
      <c r="Y55" s="40">
        <v>38.32</v>
      </c>
      <c r="Z55" s="40">
        <v>37.21</v>
      </c>
      <c r="AA55" s="365">
        <v>37.49</v>
      </c>
      <c r="AB55" s="95">
        <v>1170600</v>
      </c>
      <c r="AC55" s="243">
        <v>37.49</v>
      </c>
      <c r="AD55" s="2">
        <f t="shared" si="0"/>
        <v>1.1099999999999994</v>
      </c>
      <c r="AE55" s="138">
        <f t="shared" si="1"/>
        <v>-5.5702917771883742E-3</v>
      </c>
    </row>
    <row r="56" spans="1:31" x14ac:dyDescent="0.25">
      <c r="O56" s="2"/>
      <c r="P56" s="83">
        <v>0.94</v>
      </c>
      <c r="Q56" s="83">
        <f t="shared" si="20"/>
        <v>42.892200000000003</v>
      </c>
      <c r="R56" s="83"/>
      <c r="W56" s="94">
        <v>42675</v>
      </c>
      <c r="X56" s="365">
        <v>39.11</v>
      </c>
      <c r="Y56" s="40">
        <v>39.14</v>
      </c>
      <c r="Z56" s="40">
        <v>37.21</v>
      </c>
      <c r="AA56" s="365">
        <v>37.700000000000003</v>
      </c>
      <c r="AB56" s="95">
        <v>1760000</v>
      </c>
      <c r="AC56" s="243">
        <v>37.700000000000003</v>
      </c>
      <c r="AD56" s="2">
        <f t="shared" si="0"/>
        <v>1.9299999999999997</v>
      </c>
      <c r="AE56" s="138">
        <f t="shared" si="1"/>
        <v>-3.0100334448160404E-2</v>
      </c>
    </row>
    <row r="57" spans="1:31" x14ac:dyDescent="0.25">
      <c r="O57" s="2"/>
      <c r="P57" s="83">
        <v>0.93</v>
      </c>
      <c r="Q57" s="83">
        <f t="shared" si="20"/>
        <v>42.435900000000004</v>
      </c>
      <c r="R57" s="83"/>
      <c r="W57" s="94">
        <v>42674</v>
      </c>
      <c r="X57" s="365">
        <v>38.44</v>
      </c>
      <c r="Y57" s="40">
        <v>38.96</v>
      </c>
      <c r="Z57" s="40">
        <v>38.18</v>
      </c>
      <c r="AA57" s="365">
        <v>38.869999999999997</v>
      </c>
      <c r="AB57" s="95">
        <v>1593700</v>
      </c>
      <c r="AC57" s="243">
        <v>38.869999999999997</v>
      </c>
      <c r="AD57" s="2">
        <f t="shared" si="0"/>
        <v>0.78000000000000114</v>
      </c>
      <c r="AE57" s="138">
        <f t="shared" si="1"/>
        <v>1.6474895397489364E-2</v>
      </c>
    </row>
    <row r="58" spans="1:31" x14ac:dyDescent="0.25">
      <c r="O58" s="2"/>
      <c r="P58" s="83">
        <v>0.92</v>
      </c>
      <c r="Q58" s="83">
        <f t="shared" si="20"/>
        <v>41.979600000000005</v>
      </c>
      <c r="R58" s="83"/>
      <c r="W58" s="94">
        <v>42671</v>
      </c>
      <c r="X58" s="365">
        <v>36.78</v>
      </c>
      <c r="Y58" s="40">
        <v>38.35</v>
      </c>
      <c r="Z58" s="40">
        <v>36.51</v>
      </c>
      <c r="AA58" s="365">
        <v>38.24</v>
      </c>
      <c r="AB58" s="95">
        <v>2817100</v>
      </c>
      <c r="AC58" s="243">
        <v>38.24</v>
      </c>
      <c r="AD58" s="2">
        <f t="shared" si="0"/>
        <v>1.8400000000000034</v>
      </c>
      <c r="AE58" s="138">
        <f t="shared" si="1"/>
        <v>7.0848501820218512E-2</v>
      </c>
    </row>
    <row r="59" spans="1:31" x14ac:dyDescent="0.25">
      <c r="O59" s="2"/>
      <c r="P59" s="83">
        <v>0.91</v>
      </c>
      <c r="Q59" s="83">
        <f t="shared" si="20"/>
        <v>41.523300000000006</v>
      </c>
      <c r="R59" s="83"/>
      <c r="W59" s="94">
        <v>42670</v>
      </c>
      <c r="X59" s="365">
        <v>37.43</v>
      </c>
      <c r="Y59" s="40">
        <v>37.57</v>
      </c>
      <c r="Z59" s="40">
        <v>35.57</v>
      </c>
      <c r="AA59" s="365">
        <v>35.71</v>
      </c>
      <c r="AB59" s="95">
        <v>2749300</v>
      </c>
      <c r="AC59" s="243">
        <v>35.71</v>
      </c>
      <c r="AD59" s="2">
        <f t="shared" si="0"/>
        <v>2</v>
      </c>
      <c r="AE59" s="138">
        <f t="shared" si="1"/>
        <v>-5.9520674216486658E-2</v>
      </c>
    </row>
    <row r="60" spans="1:31" x14ac:dyDescent="0.25">
      <c r="O60" s="2"/>
      <c r="P60" s="83">
        <v>0.9</v>
      </c>
      <c r="Q60" s="83">
        <f t="shared" si="20"/>
        <v>41.067</v>
      </c>
      <c r="R60" s="83"/>
      <c r="W60" s="94">
        <v>42669</v>
      </c>
      <c r="X60" s="365">
        <v>37.65</v>
      </c>
      <c r="Y60" s="40">
        <v>38.29</v>
      </c>
      <c r="Z60" s="40">
        <v>37.520000000000003</v>
      </c>
      <c r="AA60" s="365">
        <v>37.97</v>
      </c>
      <c r="AB60" s="95">
        <v>1070500</v>
      </c>
      <c r="AC60" s="243">
        <v>37.97</v>
      </c>
      <c r="AD60" s="2">
        <f t="shared" si="0"/>
        <v>0.76999999999999602</v>
      </c>
      <c r="AE60" s="138">
        <f t="shared" si="1"/>
        <v>6.3609859528226398E-3</v>
      </c>
    </row>
    <row r="61" spans="1:31" x14ac:dyDescent="0.25">
      <c r="W61" s="94">
        <v>42668</v>
      </c>
      <c r="X61" s="365">
        <v>37.840000000000003</v>
      </c>
      <c r="Y61" s="40">
        <v>38.090000000000003</v>
      </c>
      <c r="Z61" s="40">
        <v>37.450000000000003</v>
      </c>
      <c r="AA61" s="365">
        <v>37.729999999999997</v>
      </c>
      <c r="AB61" s="95">
        <v>1862200</v>
      </c>
      <c r="AC61" s="243">
        <v>37.729999999999997</v>
      </c>
      <c r="AD61" s="2">
        <f t="shared" si="0"/>
        <v>0.64000000000000057</v>
      </c>
      <c r="AE61" s="138">
        <f t="shared" si="1"/>
        <v>-8.6705202312140628E-3</v>
      </c>
    </row>
    <row r="62" spans="1:31" x14ac:dyDescent="0.25">
      <c r="W62" s="94">
        <v>42667</v>
      </c>
      <c r="X62" s="365">
        <v>38.36</v>
      </c>
      <c r="Y62" s="40">
        <v>39.19</v>
      </c>
      <c r="Z62" s="40">
        <v>37.99</v>
      </c>
      <c r="AA62" s="365">
        <v>38.06</v>
      </c>
      <c r="AB62" s="95">
        <v>2834700</v>
      </c>
      <c r="AC62" s="243">
        <v>38.06</v>
      </c>
      <c r="AD62" s="2">
        <f t="shared" si="0"/>
        <v>1.1999999999999957</v>
      </c>
      <c r="AE62" s="138">
        <f t="shared" si="1"/>
        <v>1.8425901553040802E-3</v>
      </c>
    </row>
    <row r="63" spans="1:31" x14ac:dyDescent="0.25">
      <c r="W63" s="94">
        <v>42664</v>
      </c>
      <c r="X63" s="365">
        <v>38.42</v>
      </c>
      <c r="Y63" s="40">
        <v>38.54</v>
      </c>
      <c r="Z63" s="40">
        <v>37.799999999999997</v>
      </c>
      <c r="AA63" s="365">
        <v>37.99</v>
      </c>
      <c r="AB63" s="95">
        <v>3208100</v>
      </c>
      <c r="AC63" s="243">
        <v>37.99</v>
      </c>
      <c r="AD63" s="2">
        <f t="shared" si="0"/>
        <v>0.74000000000000199</v>
      </c>
      <c r="AE63" s="138">
        <f t="shared" si="1"/>
        <v>-1.9359834796076392E-2</v>
      </c>
    </row>
    <row r="64" spans="1:31" x14ac:dyDescent="0.25">
      <c r="W64" s="94">
        <v>42663</v>
      </c>
      <c r="X64" s="365">
        <v>38.200000000000003</v>
      </c>
      <c r="Y64" s="40">
        <v>38.799999999999997</v>
      </c>
      <c r="Z64" s="40">
        <v>37.69</v>
      </c>
      <c r="AA64" s="365">
        <v>38.74</v>
      </c>
      <c r="AB64" s="95">
        <v>1134700</v>
      </c>
      <c r="AC64" s="243">
        <v>38.74</v>
      </c>
      <c r="AD64" s="2">
        <f t="shared" si="0"/>
        <v>1.1099999999999994</v>
      </c>
      <c r="AE64" s="138">
        <f t="shared" si="1"/>
        <v>1.6531094200997076E-2</v>
      </c>
    </row>
    <row r="65" spans="23:31" x14ac:dyDescent="0.25">
      <c r="W65" s="94">
        <v>42662</v>
      </c>
      <c r="X65" s="365">
        <v>37.659999999999997</v>
      </c>
      <c r="Y65" s="40">
        <v>38.22</v>
      </c>
      <c r="Z65" s="40">
        <v>37.4</v>
      </c>
      <c r="AA65" s="365">
        <v>38.11</v>
      </c>
      <c r="AB65" s="95">
        <v>1417800</v>
      </c>
      <c r="AC65" s="243">
        <v>38.11</v>
      </c>
      <c r="AD65" s="2">
        <f t="shared" si="0"/>
        <v>0.82000000000000028</v>
      </c>
      <c r="AE65" s="138">
        <f t="shared" si="1"/>
        <v>-3.6601307189542132E-3</v>
      </c>
    </row>
    <row r="66" spans="23:31" x14ac:dyDescent="0.25">
      <c r="W66" s="94">
        <v>42661</v>
      </c>
      <c r="X66" s="365">
        <v>37.96</v>
      </c>
      <c r="Y66" s="40">
        <v>38.67</v>
      </c>
      <c r="Z66" s="40">
        <v>37.9</v>
      </c>
      <c r="AA66" s="365">
        <v>38.25</v>
      </c>
      <c r="AB66" s="95">
        <v>1310400</v>
      </c>
      <c r="AC66" s="243">
        <v>38.25</v>
      </c>
      <c r="AD66" s="2">
        <f t="shared" si="0"/>
        <v>0.77000000000000313</v>
      </c>
      <c r="AE66" s="138">
        <f t="shared" si="1"/>
        <v>2.0816653322658141E-2</v>
      </c>
    </row>
    <row r="67" spans="23:31" x14ac:dyDescent="0.25">
      <c r="W67" s="94">
        <v>42660</v>
      </c>
      <c r="X67" s="365">
        <v>37.44</v>
      </c>
      <c r="Y67" s="40">
        <v>37.619999999999997</v>
      </c>
      <c r="Z67" s="40">
        <v>37.21</v>
      </c>
      <c r="AA67" s="365">
        <v>37.47</v>
      </c>
      <c r="AB67" s="95">
        <v>1765100</v>
      </c>
      <c r="AC67" s="243">
        <v>37.47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3" priority="17">
      <formula>F28&gt;0</formula>
    </cfRule>
    <cfRule type="expression" dxfId="492" priority="18">
      <formula>F28&lt;0</formula>
    </cfRule>
  </conditionalFormatting>
  <conditionalFormatting sqref="F28 F33:F35">
    <cfRule type="expression" dxfId="491" priority="19">
      <formula>F28&gt;0</formula>
    </cfRule>
    <cfRule type="expression" dxfId="490" priority="20">
      <formula>F28&lt;0</formula>
    </cfRule>
  </conditionalFormatting>
  <conditionalFormatting sqref="H28 H33:H35">
    <cfRule type="expression" dxfId="489" priority="15">
      <formula>H28&gt;0</formula>
    </cfRule>
    <cfRule type="expression" dxfId="488" priority="16">
      <formula>H28&lt;0</formula>
    </cfRule>
  </conditionalFormatting>
  <conditionalFormatting sqref="F21:F27">
    <cfRule type="expression" dxfId="487" priority="13">
      <formula>F21&gt;0</formula>
    </cfRule>
    <cfRule type="expression" dxfId="486" priority="14">
      <formula>F21&lt;0</formula>
    </cfRule>
  </conditionalFormatting>
  <conditionalFormatting sqref="H21:H27">
    <cfRule type="expression" dxfId="485" priority="11">
      <formula>H21&gt;0</formula>
    </cfRule>
    <cfRule type="expression" dxfId="484" priority="12">
      <formula>H21&lt;0</formula>
    </cfRule>
  </conditionalFormatting>
  <conditionalFormatting sqref="Q8">
    <cfRule type="expression" dxfId="483" priority="7">
      <formula>Q8&gt;0</formula>
    </cfRule>
    <cfRule type="expression" dxfId="482" priority="8">
      <formula>Q8&lt;0</formula>
    </cfRule>
  </conditionalFormatting>
  <conditionalFormatting sqref="Q7">
    <cfRule type="expression" dxfId="481" priority="9">
      <formula>Q7&gt;0</formula>
    </cfRule>
    <cfRule type="expression" dxfId="480" priority="10">
      <formula>Q7&lt;0</formula>
    </cfRule>
  </conditionalFormatting>
  <conditionalFormatting sqref="F29:F32">
    <cfRule type="expression" dxfId="479" priority="5">
      <formula>F29&gt;0</formula>
    </cfRule>
    <cfRule type="expression" dxfId="478" priority="6">
      <formula>F29&lt;0</formula>
    </cfRule>
  </conditionalFormatting>
  <conditionalFormatting sqref="H29:H32">
    <cfRule type="expression" dxfId="477" priority="3">
      <formula>H29&gt;0</formula>
    </cfRule>
    <cfRule type="expression" dxfId="476" priority="4">
      <formula>H29&lt;0</formula>
    </cfRule>
  </conditionalFormatting>
  <conditionalFormatting sqref="M37">
    <cfRule type="expression" dxfId="475" priority="1">
      <formula>M37&gt;0</formula>
    </cfRule>
    <cfRule type="expression" dxfId="47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226.7</v>
      </c>
      <c r="Y2" s="40">
        <v>227.31</v>
      </c>
      <c r="Z2" s="40">
        <v>225.97</v>
      </c>
      <c r="AA2" s="365">
        <v>226.74</v>
      </c>
      <c r="AB2" s="95">
        <v>116431700</v>
      </c>
      <c r="AC2" s="243">
        <v>226.74</v>
      </c>
      <c r="AD2" s="2">
        <f>Y2-Z2</f>
        <v>1.3400000000000034</v>
      </c>
      <c r="AE2" s="138">
        <f>AC2/AC3-1</f>
        <v>3.6740294807666718E-3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226.74</v>
      </c>
      <c r="T3" s="121"/>
      <c r="W3" s="94">
        <v>42754</v>
      </c>
      <c r="X3" s="365">
        <v>226.84</v>
      </c>
      <c r="Y3" s="40">
        <v>227</v>
      </c>
      <c r="Z3" s="40">
        <v>225.41</v>
      </c>
      <c r="AA3" s="365">
        <v>225.91</v>
      </c>
      <c r="AB3" s="95">
        <v>65357500</v>
      </c>
      <c r="AC3" s="243">
        <v>225.91</v>
      </c>
      <c r="AD3" s="2">
        <f>Y3-Z3</f>
        <v>1.5900000000000034</v>
      </c>
      <c r="AE3" s="138">
        <f>AC3/AC4-1</f>
        <v>-3.7045203969129359E-3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226.74</v>
      </c>
      <c r="R4" s="505">
        <v>3.7000000000000002E-3</v>
      </c>
      <c r="T4" s="121"/>
      <c r="W4" s="94">
        <v>42753</v>
      </c>
      <c r="X4" s="365">
        <v>226.54</v>
      </c>
      <c r="Y4" s="40">
        <v>226.8</v>
      </c>
      <c r="Z4" s="40">
        <v>225.9</v>
      </c>
      <c r="AA4" s="365">
        <v>226.75</v>
      </c>
      <c r="AB4" s="95">
        <v>51146400</v>
      </c>
      <c r="AC4" s="243">
        <v>226.75</v>
      </c>
      <c r="AD4" s="2">
        <f t="shared" ref="AD4:AD67" si="0">Y4-Z4</f>
        <v>0.90000000000000568</v>
      </c>
      <c r="AE4" s="138">
        <f t="shared" ref="AE4:AE67" si="1">AC4/AC5-1</f>
        <v>2.2099447513812542E-3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226.31</v>
      </c>
      <c r="Y5" s="40">
        <v>226.78</v>
      </c>
      <c r="Z5" s="40">
        <v>225.8</v>
      </c>
      <c r="AA5" s="365">
        <v>226.25</v>
      </c>
      <c r="AB5" s="95">
        <v>59261200</v>
      </c>
      <c r="AC5" s="243">
        <v>226.25</v>
      </c>
      <c r="AD5" s="2">
        <f t="shared" si="0"/>
        <v>0.97999999999998977</v>
      </c>
      <c r="AE5" s="138">
        <f t="shared" si="1"/>
        <v>-3.5234529839243134E-3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226.73</v>
      </c>
      <c r="Y6" s="40">
        <v>227.4</v>
      </c>
      <c r="Z6" s="40">
        <v>226.69</v>
      </c>
      <c r="AA6" s="365">
        <v>227.05</v>
      </c>
      <c r="AB6" s="95">
        <v>61907200</v>
      </c>
      <c r="AC6" s="243">
        <v>227.05</v>
      </c>
      <c r="AD6" s="2">
        <f t="shared" si="0"/>
        <v>0.71000000000000796</v>
      </c>
      <c r="AE6" s="138">
        <f t="shared" si="1"/>
        <v>2.295501699554281E-3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42747</v>
      </c>
      <c r="X7" s="365">
        <v>226.5</v>
      </c>
      <c r="Y7" s="40">
        <v>226.75</v>
      </c>
      <c r="Z7" s="40">
        <v>224.96</v>
      </c>
      <c r="AA7" s="365">
        <v>226.53</v>
      </c>
      <c r="AB7" s="95">
        <v>70354400</v>
      </c>
      <c r="AC7" s="243">
        <v>226.53</v>
      </c>
      <c r="AD7" s="2">
        <f t="shared" si="0"/>
        <v>1.789999999999992</v>
      </c>
      <c r="AE7" s="138">
        <f t="shared" si="1"/>
        <v>-2.509907529722577E-3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226.36</v>
      </c>
      <c r="Y8" s="40">
        <v>227.1</v>
      </c>
      <c r="Z8" s="40">
        <v>225.59</v>
      </c>
      <c r="AA8" s="365">
        <v>227.1</v>
      </c>
      <c r="AB8" s="95">
        <v>71423200</v>
      </c>
      <c r="AC8" s="243">
        <v>227.1</v>
      </c>
      <c r="AD8" s="2">
        <f t="shared" si="0"/>
        <v>1.5099999999999909</v>
      </c>
      <c r="AE8" s="138">
        <f t="shared" si="1"/>
        <v>2.8261061556125178E-3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226.48</v>
      </c>
      <c r="Y9" s="40">
        <v>227.45</v>
      </c>
      <c r="Z9" s="40">
        <v>226.01</v>
      </c>
      <c r="AA9" s="365">
        <v>226.46</v>
      </c>
      <c r="AB9" s="95">
        <v>61045000</v>
      </c>
      <c r="AC9" s="243">
        <v>226.46</v>
      </c>
      <c r="AD9" s="2">
        <f t="shared" si="0"/>
        <v>1.4399999999999977</v>
      </c>
      <c r="AE9" s="138">
        <f t="shared" si="1"/>
        <v>0</v>
      </c>
      <c r="AK9" s="234"/>
      <c r="AN9" s="234"/>
    </row>
    <row r="10" spans="1:40" ht="12.75" customHeight="1" x14ac:dyDescent="0.25">
      <c r="O10" s="11" t="s">
        <v>214</v>
      </c>
      <c r="Q10" s="2">
        <f>M37</f>
        <v>160.82999999999993</v>
      </c>
      <c r="W10" s="94">
        <v>42744</v>
      </c>
      <c r="X10" s="365">
        <v>226.91</v>
      </c>
      <c r="Y10" s="40">
        <v>227.07</v>
      </c>
      <c r="Z10" s="40">
        <v>226.42</v>
      </c>
      <c r="AA10" s="365">
        <v>226.46</v>
      </c>
      <c r="AB10" s="95">
        <v>46265300</v>
      </c>
      <c r="AC10" s="243">
        <v>226.46</v>
      </c>
      <c r="AD10" s="2">
        <f t="shared" si="0"/>
        <v>0.65000000000000568</v>
      </c>
      <c r="AE10" s="138">
        <f t="shared" si="1"/>
        <v>-3.3009110514502504E-3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226.53</v>
      </c>
      <c r="Y11" s="40">
        <v>227.75</v>
      </c>
      <c r="Z11" s="40">
        <v>225.9</v>
      </c>
      <c r="AA11" s="365">
        <v>227.21</v>
      </c>
      <c r="AB11" s="95">
        <v>69536300</v>
      </c>
      <c r="AC11" s="243">
        <v>227.21</v>
      </c>
      <c r="AD11" s="2">
        <f t="shared" si="0"/>
        <v>1.8499999999999943</v>
      </c>
      <c r="AE11" s="138">
        <f t="shared" si="1"/>
        <v>3.5777385159010411E-3</v>
      </c>
      <c r="AK11" s="234"/>
      <c r="AN11" s="234"/>
    </row>
    <row r="12" spans="1:40" x14ac:dyDescent="0.25">
      <c r="W12" s="94">
        <v>42740</v>
      </c>
      <c r="X12" s="365">
        <v>226.27</v>
      </c>
      <c r="Y12" s="40">
        <v>226.58</v>
      </c>
      <c r="Z12" s="40">
        <v>225.48</v>
      </c>
      <c r="AA12" s="365">
        <v>226.4</v>
      </c>
      <c r="AB12" s="95">
        <v>77145900</v>
      </c>
      <c r="AC12" s="243">
        <v>226.4</v>
      </c>
      <c r="AD12" s="2">
        <f t="shared" si="0"/>
        <v>1.1000000000000227</v>
      </c>
      <c r="AE12" s="138">
        <f t="shared" si="1"/>
        <v>-7.9442139641627829E-4</v>
      </c>
    </row>
    <row r="13" spans="1:40" x14ac:dyDescent="0.25">
      <c r="W13" s="94">
        <v>42739</v>
      </c>
      <c r="X13" s="365">
        <v>225.24</v>
      </c>
      <c r="Y13" s="40">
        <v>226.75</v>
      </c>
      <c r="Z13" s="40">
        <v>225.24</v>
      </c>
      <c r="AA13" s="365">
        <v>226.58</v>
      </c>
      <c r="AB13" s="95">
        <v>75801800</v>
      </c>
      <c r="AC13" s="243">
        <v>226.58</v>
      </c>
      <c r="AD13" s="2">
        <f t="shared" si="0"/>
        <v>1.5099999999999909</v>
      </c>
      <c r="AE13" s="138">
        <f t="shared" si="1"/>
        <v>5.9492097318416537E-3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225.04</v>
      </c>
      <c r="Y14" s="40">
        <v>225.83</v>
      </c>
      <c r="Z14" s="40">
        <v>223.88</v>
      </c>
      <c r="AA14" s="365">
        <v>225.24</v>
      </c>
      <c r="AB14" s="95">
        <v>89895000</v>
      </c>
      <c r="AC14" s="243">
        <v>225.24</v>
      </c>
      <c r="AD14" s="2">
        <f t="shared" si="0"/>
        <v>1.9500000000000171</v>
      </c>
      <c r="AE14" s="138">
        <f t="shared" si="1"/>
        <v>7.6499798684741549E-3</v>
      </c>
    </row>
    <row r="15" spans="1:40" x14ac:dyDescent="0.25">
      <c r="W15" s="94">
        <v>42734</v>
      </c>
      <c r="X15" s="365">
        <v>224.73</v>
      </c>
      <c r="Y15" s="40">
        <v>224.83</v>
      </c>
      <c r="Z15" s="40">
        <v>222.73</v>
      </c>
      <c r="AA15" s="365">
        <v>223.53</v>
      </c>
      <c r="AB15" s="95">
        <v>101301800</v>
      </c>
      <c r="AC15" s="243">
        <v>223.53</v>
      </c>
      <c r="AD15" s="2">
        <f t="shared" si="0"/>
        <v>2.1000000000000227</v>
      </c>
      <c r="AE15" s="138">
        <f t="shared" si="1"/>
        <v>-3.6550033429908479E-3</v>
      </c>
      <c r="AK15" s="234"/>
      <c r="AN15" s="234"/>
    </row>
    <row r="16" spans="1:40" x14ac:dyDescent="0.25">
      <c r="W16" s="94">
        <v>42733</v>
      </c>
      <c r="X16" s="365">
        <v>224.48</v>
      </c>
      <c r="Y16" s="40">
        <v>224.89</v>
      </c>
      <c r="Z16" s="40">
        <v>223.84</v>
      </c>
      <c r="AA16" s="365">
        <v>224.35</v>
      </c>
      <c r="AB16" s="95">
        <v>47719500</v>
      </c>
      <c r="AC16" s="243">
        <v>224.35</v>
      </c>
      <c r="AD16" s="2">
        <f t="shared" si="0"/>
        <v>1.0499999999999829</v>
      </c>
      <c r="AE16" s="138">
        <f t="shared" si="1"/>
        <v>-2.2281639928700692E-4</v>
      </c>
    </row>
    <row r="17" spans="1:40" x14ac:dyDescent="0.25">
      <c r="W17" s="94">
        <v>42732</v>
      </c>
      <c r="X17" s="365">
        <v>226.57</v>
      </c>
      <c r="Y17" s="40">
        <v>226.59</v>
      </c>
      <c r="Z17" s="40">
        <v>224.27</v>
      </c>
      <c r="AA17" s="365">
        <v>224.4</v>
      </c>
      <c r="AB17" s="95">
        <v>59776300</v>
      </c>
      <c r="AC17" s="243">
        <v>224.4</v>
      </c>
      <c r="AD17" s="2">
        <f t="shared" si="0"/>
        <v>2.3199999999999932</v>
      </c>
      <c r="AE17" s="138">
        <f t="shared" si="1"/>
        <v>-8.2644628099173278E-3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226.02</v>
      </c>
      <c r="Y18" s="40">
        <v>226.73</v>
      </c>
      <c r="Z18" s="40">
        <v>226</v>
      </c>
      <c r="AA18" s="365">
        <v>226.27</v>
      </c>
      <c r="AB18" s="95">
        <v>41054400</v>
      </c>
      <c r="AC18" s="243">
        <v>226.27</v>
      </c>
      <c r="AD18" s="2">
        <f t="shared" si="0"/>
        <v>0.72999999999998977</v>
      </c>
      <c r="AE18" s="138">
        <f t="shared" si="1"/>
        <v>2.4810597669575607E-3</v>
      </c>
    </row>
    <row r="19" spans="1:40" x14ac:dyDescent="0.25">
      <c r="W19" s="94">
        <v>42727</v>
      </c>
      <c r="X19" s="365">
        <v>225.43</v>
      </c>
      <c r="Y19" s="40">
        <v>225.72</v>
      </c>
      <c r="Z19" s="40">
        <v>225.21</v>
      </c>
      <c r="AA19" s="365">
        <v>225.71</v>
      </c>
      <c r="AB19" s="95">
        <v>36251400</v>
      </c>
      <c r="AC19" s="243">
        <v>225.71</v>
      </c>
      <c r="AD19" s="2">
        <f t="shared" si="0"/>
        <v>0.50999999999999091</v>
      </c>
      <c r="AE19" s="138">
        <f t="shared" si="1"/>
        <v>1.4641938060164783E-3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225.6</v>
      </c>
      <c r="Y20" s="40">
        <v>225.74</v>
      </c>
      <c r="Z20" s="40">
        <v>224.92</v>
      </c>
      <c r="AA20" s="365">
        <v>225.38</v>
      </c>
      <c r="AB20" s="95">
        <v>56219100</v>
      </c>
      <c r="AC20" s="243">
        <v>225.38</v>
      </c>
      <c r="AD20" s="2">
        <f t="shared" si="0"/>
        <v>0.8200000000000216</v>
      </c>
      <c r="AE20" s="138">
        <f t="shared" si="1"/>
        <v>-1.727421712362176E-3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42725</v>
      </c>
      <c r="X21" s="365">
        <v>226.25</v>
      </c>
      <c r="Y21" s="40">
        <v>226.45</v>
      </c>
      <c r="Z21" s="40">
        <v>225.77</v>
      </c>
      <c r="AA21" s="365">
        <v>225.77</v>
      </c>
      <c r="AB21" s="95">
        <v>67909000</v>
      </c>
      <c r="AC21" s="243">
        <v>225.77</v>
      </c>
      <c r="AD21" s="2">
        <f t="shared" si="0"/>
        <v>0.6799999999999784</v>
      </c>
      <c r="AE21" s="138">
        <f t="shared" si="1"/>
        <v>-2.7826855123674887E-3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42724</v>
      </c>
      <c r="X22" s="365">
        <v>226.15</v>
      </c>
      <c r="Y22" s="40">
        <v>226.57</v>
      </c>
      <c r="Z22" s="40">
        <v>225.88</v>
      </c>
      <c r="AA22" s="365">
        <v>226.4</v>
      </c>
      <c r="AB22" s="95">
        <v>89838800</v>
      </c>
      <c r="AC22" s="243">
        <v>226.4</v>
      </c>
      <c r="AD22" s="2">
        <f t="shared" si="0"/>
        <v>0.68999999999999773</v>
      </c>
      <c r="AE22" s="138">
        <f t="shared" si="1"/>
        <v>3.8575799228484087E-3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42723</v>
      </c>
      <c r="X23" s="365">
        <v>225.25</v>
      </c>
      <c r="Y23" s="40">
        <v>226.02</v>
      </c>
      <c r="Z23" s="40">
        <v>225.08</v>
      </c>
      <c r="AA23" s="365">
        <v>225.53</v>
      </c>
      <c r="AB23" s="95">
        <v>90341100</v>
      </c>
      <c r="AC23" s="243">
        <v>225.53</v>
      </c>
      <c r="AD23" s="2">
        <f t="shared" si="0"/>
        <v>0.93999999999999773</v>
      </c>
      <c r="AE23" s="138">
        <f t="shared" si="1"/>
        <v>2.1773906861002335E-3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42720</v>
      </c>
      <c r="X24" s="365">
        <v>226.01</v>
      </c>
      <c r="Y24" s="40">
        <v>226.08</v>
      </c>
      <c r="Z24" s="40">
        <v>224.67</v>
      </c>
      <c r="AA24" s="365">
        <v>225.04</v>
      </c>
      <c r="AB24" s="95">
        <v>156420200</v>
      </c>
      <c r="AC24" s="243">
        <v>225.04</v>
      </c>
      <c r="AD24" s="2">
        <f t="shared" si="0"/>
        <v>1.410000000000025</v>
      </c>
      <c r="AE24" s="138" t="e">
        <f t="shared" si="1"/>
        <v>#DIV/0!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42720</v>
      </c>
      <c r="X25" s="365" t="s">
        <v>377</v>
      </c>
      <c r="Y25" s="40"/>
      <c r="Z25" s="40"/>
      <c r="AA25" s="365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42719</v>
      </c>
      <c r="X26" s="365">
        <v>226.16</v>
      </c>
      <c r="Y26" s="40">
        <v>227.81</v>
      </c>
      <c r="Z26" s="40">
        <v>225.89</v>
      </c>
      <c r="AA26" s="365">
        <v>226.81</v>
      </c>
      <c r="AB26" s="95">
        <v>124972600</v>
      </c>
      <c r="AC26" s="243">
        <v>225.48</v>
      </c>
      <c r="AD26" s="2">
        <f t="shared" si="0"/>
        <v>1.9200000000000159</v>
      </c>
      <c r="AE26" s="138">
        <f t="shared" si="1"/>
        <v>4.0969006056288393E-3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42718</v>
      </c>
      <c r="X27" s="365">
        <v>227.41</v>
      </c>
      <c r="Y27" s="40">
        <v>228.23</v>
      </c>
      <c r="Z27" s="40">
        <v>225.37</v>
      </c>
      <c r="AA27" s="365">
        <v>225.88</v>
      </c>
      <c r="AB27" s="95">
        <v>142501800</v>
      </c>
      <c r="AC27" s="243">
        <v>224.56</v>
      </c>
      <c r="AD27" s="2">
        <f t="shared" si="0"/>
        <v>2.8599999999999852</v>
      </c>
      <c r="AE27" s="138">
        <f t="shared" si="1"/>
        <v>-8.258622973987606E-3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42717</v>
      </c>
      <c r="X28" s="365">
        <v>227.02</v>
      </c>
      <c r="Y28" s="40">
        <v>228.34</v>
      </c>
      <c r="Z28" s="40">
        <v>227</v>
      </c>
      <c r="AA28" s="365">
        <v>227.76</v>
      </c>
      <c r="AB28" s="95">
        <v>110477500</v>
      </c>
      <c r="AC28" s="243">
        <v>226.43</v>
      </c>
      <c r="AD28" s="2">
        <f t="shared" si="0"/>
        <v>1.3400000000000034</v>
      </c>
      <c r="AE28" s="138">
        <f t="shared" si="1"/>
        <v>6.7134981326695264E-3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42716</v>
      </c>
      <c r="X29" s="365">
        <v>226.4</v>
      </c>
      <c r="Y29" s="40">
        <v>226.96</v>
      </c>
      <c r="Z29" s="40">
        <v>225.76</v>
      </c>
      <c r="AA29" s="365">
        <v>226.25</v>
      </c>
      <c r="AB29" s="95">
        <v>102016100</v>
      </c>
      <c r="AC29" s="243">
        <v>224.92</v>
      </c>
      <c r="AD29" s="2">
        <f t="shared" si="0"/>
        <v>1.2000000000000171</v>
      </c>
      <c r="AE29" s="138">
        <f t="shared" si="1"/>
        <v>-1.1546318500755826E-3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42713</v>
      </c>
      <c r="X30" s="365">
        <v>225.41</v>
      </c>
      <c r="Y30" s="40">
        <v>226.53</v>
      </c>
      <c r="Z30" s="40">
        <v>225.37</v>
      </c>
      <c r="AA30" s="365">
        <v>226.51</v>
      </c>
      <c r="AB30" s="95">
        <v>88005800</v>
      </c>
      <c r="AC30" s="243">
        <v>225.18</v>
      </c>
      <c r="AD30" s="2">
        <f t="shared" si="0"/>
        <v>1.1599999999999966</v>
      </c>
      <c r="AE30" s="138">
        <f t="shared" si="1"/>
        <v>6.0313630880579616E-3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42712</v>
      </c>
      <c r="X31" s="365">
        <v>224.57</v>
      </c>
      <c r="Y31" s="40">
        <v>225.7</v>
      </c>
      <c r="Z31" s="40">
        <v>224.26</v>
      </c>
      <c r="AA31" s="365">
        <v>225.15</v>
      </c>
      <c r="AB31" s="95">
        <v>99714400</v>
      </c>
      <c r="AC31" s="243">
        <v>223.83</v>
      </c>
      <c r="AD31" s="2">
        <f t="shared" si="0"/>
        <v>1.4399999999999977</v>
      </c>
      <c r="AE31" s="138">
        <f t="shared" si="1"/>
        <v>2.463274811895344E-3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42711</v>
      </c>
      <c r="X32" s="365">
        <v>221.52</v>
      </c>
      <c r="Y32" s="40">
        <v>224.67</v>
      </c>
      <c r="Z32" s="40">
        <v>221.38</v>
      </c>
      <c r="AA32" s="365">
        <v>224.6</v>
      </c>
      <c r="AB32" s="95">
        <v>110738100</v>
      </c>
      <c r="AC32" s="243">
        <v>223.28</v>
      </c>
      <c r="AD32" s="2">
        <f t="shared" si="0"/>
        <v>3.289999999999992</v>
      </c>
      <c r="AE32" s="138">
        <f t="shared" si="1"/>
        <v>1.3067150635208691E-2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42710</v>
      </c>
      <c r="X33" s="365">
        <v>221.22</v>
      </c>
      <c r="Y33" s="40">
        <v>221.74</v>
      </c>
      <c r="Z33" s="40">
        <v>220.66</v>
      </c>
      <c r="AA33" s="365">
        <v>221.7</v>
      </c>
      <c r="AB33" s="95">
        <v>59877400</v>
      </c>
      <c r="AC33" s="243">
        <v>220.4</v>
      </c>
      <c r="AD33" s="2">
        <f t="shared" si="0"/>
        <v>1.0800000000000125</v>
      </c>
      <c r="AE33" s="138">
        <f t="shared" si="1"/>
        <v>3.1405033908333824E-3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365">
        <v>220.65</v>
      </c>
      <c r="Y34" s="40">
        <v>221.4</v>
      </c>
      <c r="Z34" s="40">
        <v>220.42</v>
      </c>
      <c r="AA34" s="365">
        <v>221</v>
      </c>
      <c r="AB34" s="95">
        <v>67837800</v>
      </c>
      <c r="AC34" s="243">
        <v>219.71</v>
      </c>
      <c r="AD34" s="2">
        <f t="shared" si="0"/>
        <v>0.98000000000001819</v>
      </c>
      <c r="AE34" s="138">
        <f t="shared" si="1"/>
        <v>6.044232794542026E-3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365">
        <v>219.67</v>
      </c>
      <c r="Y35" s="40">
        <v>220.25</v>
      </c>
      <c r="Z35" s="40">
        <v>219.26</v>
      </c>
      <c r="AA35" s="365">
        <v>219.68</v>
      </c>
      <c r="AB35" s="95">
        <v>74840300</v>
      </c>
      <c r="AC35" s="243">
        <v>218.39</v>
      </c>
      <c r="AD35" s="2">
        <f t="shared" si="0"/>
        <v>0.99000000000000909</v>
      </c>
      <c r="AE35" s="138">
        <f t="shared" si="1"/>
        <v>5.0393989371433356E-4</v>
      </c>
    </row>
    <row r="36" spans="1:31" x14ac:dyDescent="0.25">
      <c r="W36" s="94">
        <v>42705</v>
      </c>
      <c r="X36" s="365">
        <v>220.73</v>
      </c>
      <c r="Y36" s="40">
        <v>220.73</v>
      </c>
      <c r="Z36" s="40">
        <v>219.15</v>
      </c>
      <c r="AA36" s="365">
        <v>219.57</v>
      </c>
      <c r="AB36" s="95">
        <v>79040500</v>
      </c>
      <c r="AC36" s="243">
        <v>218.28</v>
      </c>
      <c r="AD36" s="2">
        <f t="shared" si="0"/>
        <v>1.5799999999999841</v>
      </c>
      <c r="AE36" s="138">
        <f t="shared" si="1"/>
        <v>-3.6971107763932309E-3</v>
      </c>
    </row>
    <row r="37" spans="1:31" x14ac:dyDescent="0.25">
      <c r="L37" t="s">
        <v>214</v>
      </c>
      <c r="M37" s="2">
        <f>M55+K55-F55</f>
        <v>160.82999999999993</v>
      </c>
      <c r="W37" s="94">
        <v>42704</v>
      </c>
      <c r="X37" s="365">
        <v>221.63</v>
      </c>
      <c r="Y37" s="40">
        <v>221.82</v>
      </c>
      <c r="Z37" s="40">
        <v>220.31</v>
      </c>
      <c r="AA37" s="365">
        <v>220.38</v>
      </c>
      <c r="AB37" s="95">
        <v>113291800</v>
      </c>
      <c r="AC37" s="243">
        <v>219.09</v>
      </c>
      <c r="AD37" s="2">
        <f t="shared" si="0"/>
        <v>1.5099999999999909</v>
      </c>
      <c r="AE37" s="138">
        <f t="shared" si="1"/>
        <v>-2.4132592660048857E-3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42703</v>
      </c>
      <c r="X38" s="365">
        <v>220.52</v>
      </c>
      <c r="Y38" s="40">
        <v>221.44</v>
      </c>
      <c r="Z38" s="40">
        <v>220.17</v>
      </c>
      <c r="AA38" s="365">
        <v>220.91</v>
      </c>
      <c r="AB38" s="95">
        <v>69886700</v>
      </c>
      <c r="AC38" s="243">
        <v>219.62</v>
      </c>
      <c r="AD38" s="2">
        <f t="shared" si="0"/>
        <v>1.2700000000000102</v>
      </c>
      <c r="AE38" s="138">
        <f t="shared" si="1"/>
        <v>1.9617683288470911E-3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42702</v>
      </c>
      <c r="X39" s="365">
        <v>221.16</v>
      </c>
      <c r="Y39" s="40">
        <v>221.48</v>
      </c>
      <c r="Z39" s="40">
        <v>220.36</v>
      </c>
      <c r="AA39" s="365">
        <v>220.48</v>
      </c>
      <c r="AB39" s="95">
        <v>76572500</v>
      </c>
      <c r="AC39" s="243">
        <v>219.19</v>
      </c>
      <c r="AD39" s="2">
        <f t="shared" si="0"/>
        <v>1.1199999999999761</v>
      </c>
      <c r="AE39" s="138">
        <f t="shared" si="1"/>
        <v>-4.6771410407774328E-3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249.41400000000004</v>
      </c>
      <c r="R40" s="34"/>
      <c r="T40" s="97" t="s">
        <v>98</v>
      </c>
      <c r="U40" s="129">
        <v>225.91</v>
      </c>
      <c r="W40" s="94">
        <v>42699</v>
      </c>
      <c r="X40" s="365">
        <v>221.1</v>
      </c>
      <c r="Y40" s="40">
        <v>221.56</v>
      </c>
      <c r="Z40" s="40">
        <v>221.01</v>
      </c>
      <c r="AA40" s="365">
        <v>221.52</v>
      </c>
      <c r="AB40" s="95">
        <v>37872300</v>
      </c>
      <c r="AC40" s="243">
        <v>220.22</v>
      </c>
      <c r="AD40" s="2">
        <f t="shared" si="0"/>
        <v>0.55000000000001137</v>
      </c>
      <c r="AE40" s="138">
        <f t="shared" si="1"/>
        <v>3.6917187001503926E-3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247.14660000000003</v>
      </c>
      <c r="R41" s="34"/>
      <c r="T41" s="87" t="s">
        <v>99</v>
      </c>
      <c r="U41" s="130">
        <v>226.7</v>
      </c>
      <c r="W41" s="94">
        <v>42697</v>
      </c>
      <c r="X41" s="365">
        <v>219.98</v>
      </c>
      <c r="Y41" s="40">
        <v>220.76</v>
      </c>
      <c r="Z41" s="40">
        <v>219.75</v>
      </c>
      <c r="AA41" s="365">
        <v>220.7</v>
      </c>
      <c r="AB41" s="95">
        <v>56620200</v>
      </c>
      <c r="AC41" s="243">
        <v>219.41</v>
      </c>
      <c r="AD41" s="2">
        <f t="shared" si="0"/>
        <v>1.0099999999999909</v>
      </c>
      <c r="AE41" s="138">
        <f t="shared" si="1"/>
        <v>5.4722057549372316E-4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244.87920000000003</v>
      </c>
      <c r="R42" s="34"/>
      <c r="T42" s="87" t="s">
        <v>100</v>
      </c>
      <c r="U42" s="130" t="s">
        <v>129</v>
      </c>
      <c r="W42" s="94">
        <v>42696</v>
      </c>
      <c r="X42" s="365">
        <v>220.51</v>
      </c>
      <c r="Y42" s="40">
        <v>220.79</v>
      </c>
      <c r="Z42" s="40">
        <v>219.73</v>
      </c>
      <c r="AA42" s="365">
        <v>220.58</v>
      </c>
      <c r="AB42" s="95">
        <v>67429000</v>
      </c>
      <c r="AC42" s="243">
        <v>219.29</v>
      </c>
      <c r="AD42" s="2">
        <f t="shared" si="0"/>
        <v>1.0600000000000023</v>
      </c>
      <c r="AE42" s="138">
        <f t="shared" si="1"/>
        <v>1.9647263090558642E-3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242.61180000000002</v>
      </c>
      <c r="R43" s="83"/>
      <c r="T43" s="87" t="s">
        <v>101</v>
      </c>
      <c r="U43" s="130" t="s">
        <v>129</v>
      </c>
      <c r="W43" s="94">
        <v>42695</v>
      </c>
      <c r="X43" s="365">
        <v>219.17</v>
      </c>
      <c r="Y43" s="40">
        <v>220.18</v>
      </c>
      <c r="Z43" s="40">
        <v>219</v>
      </c>
      <c r="AA43" s="365">
        <v>220.15</v>
      </c>
      <c r="AB43" s="95">
        <v>72402600</v>
      </c>
      <c r="AC43" s="243">
        <v>218.86</v>
      </c>
      <c r="AD43" s="2">
        <f t="shared" si="0"/>
        <v>1.1800000000000068</v>
      </c>
      <c r="AE43" s="138">
        <f t="shared" si="1"/>
        <v>7.5499493600958978E-3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240.34440000000004</v>
      </c>
      <c r="R44" s="83"/>
      <c r="T44" s="87" t="s">
        <v>372</v>
      </c>
      <c r="U44" s="130">
        <v>226.72</v>
      </c>
      <c r="W44" s="94">
        <v>42692</v>
      </c>
      <c r="X44" s="365">
        <v>219.07</v>
      </c>
      <c r="Y44" s="40">
        <v>219.27</v>
      </c>
      <c r="Z44" s="40">
        <v>218.29</v>
      </c>
      <c r="AA44" s="365">
        <v>218.5</v>
      </c>
      <c r="AB44" s="95">
        <v>86265800</v>
      </c>
      <c r="AC44" s="243">
        <v>217.22</v>
      </c>
      <c r="AD44" s="2">
        <f t="shared" si="0"/>
        <v>0.98000000000001819</v>
      </c>
      <c r="AE44" s="138">
        <f t="shared" si="1"/>
        <v>-2.2507004731064928E-3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238.07700000000003</v>
      </c>
      <c r="R45" s="83"/>
      <c r="T45" s="87" t="s">
        <v>373</v>
      </c>
      <c r="U45" s="130" t="s">
        <v>413</v>
      </c>
      <c r="W45" s="94">
        <v>42691</v>
      </c>
      <c r="X45" s="365">
        <v>218.05</v>
      </c>
      <c r="Y45" s="40">
        <v>219.06</v>
      </c>
      <c r="Z45" s="40">
        <v>217.92</v>
      </c>
      <c r="AA45" s="365">
        <v>218.99</v>
      </c>
      <c r="AB45" s="95">
        <v>69797200</v>
      </c>
      <c r="AC45" s="243">
        <v>217.71</v>
      </c>
      <c r="AD45" s="2">
        <f t="shared" si="0"/>
        <v>1.1400000000000148</v>
      </c>
      <c r="AE45" s="138">
        <f t="shared" si="1"/>
        <v>5.1710605291104272E-3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235.80960000000002</v>
      </c>
      <c r="R46" s="83"/>
      <c r="T46" s="87" t="s">
        <v>374</v>
      </c>
      <c r="U46" s="232">
        <v>0.12</v>
      </c>
      <c r="W46" s="94">
        <v>42690</v>
      </c>
      <c r="X46" s="365">
        <v>217.56</v>
      </c>
      <c r="Y46" s="40">
        <v>218.14</v>
      </c>
      <c r="Z46" s="40">
        <v>217.42</v>
      </c>
      <c r="AA46" s="365">
        <v>217.87</v>
      </c>
      <c r="AB46" s="95">
        <v>65617700</v>
      </c>
      <c r="AC46" s="243">
        <v>216.59</v>
      </c>
      <c r="AD46" s="2">
        <f t="shared" si="0"/>
        <v>0.71999999999999886</v>
      </c>
      <c r="AE46" s="138">
        <f t="shared" si="1"/>
        <v>-1.8894009216590124E-3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233.54220000000001</v>
      </c>
      <c r="R47" s="83"/>
      <c r="T47" s="87"/>
      <c r="U47" s="130"/>
      <c r="W47" s="94">
        <v>42689</v>
      </c>
      <c r="X47" s="365">
        <v>217.04</v>
      </c>
      <c r="Y47" s="40">
        <v>218.28</v>
      </c>
      <c r="Z47" s="40">
        <v>216.8</v>
      </c>
      <c r="AA47" s="365">
        <v>218.28</v>
      </c>
      <c r="AB47" s="95">
        <v>91652600</v>
      </c>
      <c r="AC47" s="243">
        <v>217</v>
      </c>
      <c r="AD47" s="2">
        <f t="shared" si="0"/>
        <v>1.4799999999999898</v>
      </c>
      <c r="AE47" s="138">
        <f t="shared" si="1"/>
        <v>7.8023407022107527E-3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231.27480000000003</v>
      </c>
      <c r="R48" s="83"/>
      <c r="T48" s="87" t="s">
        <v>105</v>
      </c>
      <c r="U48" s="130" t="s">
        <v>542</v>
      </c>
      <c r="W48" s="94">
        <v>42688</v>
      </c>
      <c r="X48" s="365">
        <v>217.03</v>
      </c>
      <c r="Y48" s="40">
        <v>217.27</v>
      </c>
      <c r="Z48" s="40">
        <v>215.72</v>
      </c>
      <c r="AA48" s="365">
        <v>216.59</v>
      </c>
      <c r="AB48" s="95">
        <v>94580000</v>
      </c>
      <c r="AC48" s="243">
        <v>215.32</v>
      </c>
      <c r="AD48" s="2">
        <f t="shared" si="0"/>
        <v>1.5500000000000114</v>
      </c>
      <c r="AE48" s="138">
        <f t="shared" si="1"/>
        <v>7.9014640948171788E-4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229.00740000000002</v>
      </c>
      <c r="R49" s="83"/>
      <c r="T49" s="87" t="s">
        <v>106</v>
      </c>
      <c r="U49" s="130" t="s">
        <v>447</v>
      </c>
      <c r="W49" s="94">
        <v>42685</v>
      </c>
      <c r="X49" s="365">
        <v>216.08</v>
      </c>
      <c r="Y49" s="40">
        <v>216.7</v>
      </c>
      <c r="Z49" s="40">
        <v>215.32</v>
      </c>
      <c r="AA49" s="365">
        <v>216.42</v>
      </c>
      <c r="AB49" s="95">
        <v>100552700</v>
      </c>
      <c r="AC49" s="243">
        <v>215.15</v>
      </c>
      <c r="AD49" s="2">
        <f t="shared" si="0"/>
        <v>1.3799999999999955</v>
      </c>
      <c r="AE49" s="138">
        <f t="shared" si="1"/>
        <v>-2.3185717597959954E-3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226.74</v>
      </c>
      <c r="R50" s="83"/>
      <c r="T50" s="87" t="s">
        <v>107</v>
      </c>
      <c r="U50" s="131">
        <v>129168623</v>
      </c>
      <c r="W50" s="94">
        <v>42684</v>
      </c>
      <c r="X50" s="365">
        <v>217.3</v>
      </c>
      <c r="Y50" s="40">
        <v>218.31</v>
      </c>
      <c r="Z50" s="40">
        <v>215.22</v>
      </c>
      <c r="AA50" s="365">
        <v>216.92</v>
      </c>
      <c r="AB50" s="95">
        <v>172113300</v>
      </c>
      <c r="AC50" s="243">
        <v>215.65</v>
      </c>
      <c r="AD50" s="2">
        <f t="shared" si="0"/>
        <v>3.0900000000000034</v>
      </c>
      <c r="AE50" s="138">
        <f t="shared" si="1"/>
        <v>2.5103435451629963E-3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224.4726</v>
      </c>
      <c r="R51" s="83"/>
      <c r="T51" s="87" t="s">
        <v>110</v>
      </c>
      <c r="U51" s="131">
        <v>86677000</v>
      </c>
      <c r="W51" s="94">
        <v>42683</v>
      </c>
      <c r="X51" s="365">
        <v>212.37</v>
      </c>
      <c r="Y51" s="40">
        <v>217.1</v>
      </c>
      <c r="Z51" s="40">
        <v>212.34</v>
      </c>
      <c r="AA51" s="365">
        <v>216.38</v>
      </c>
      <c r="AB51" s="95">
        <v>258429000</v>
      </c>
      <c r="AC51" s="243">
        <v>215.11</v>
      </c>
      <c r="AD51" s="2">
        <f t="shared" si="0"/>
        <v>4.7599999999999909</v>
      </c>
      <c r="AE51" s="138">
        <f t="shared" si="1"/>
        <v>1.0570327915061517E-2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222.20519999999999</v>
      </c>
      <c r="R52" s="83"/>
      <c r="T52" s="87" t="s">
        <v>375</v>
      </c>
      <c r="U52" s="130">
        <v>19</v>
      </c>
      <c r="W52" s="94">
        <v>42682</v>
      </c>
      <c r="X52" s="365">
        <v>212.69</v>
      </c>
      <c r="Y52" s="40">
        <v>214.77</v>
      </c>
      <c r="Z52" s="40">
        <v>212.38</v>
      </c>
      <c r="AA52" s="365">
        <v>214.11</v>
      </c>
      <c r="AB52" s="95">
        <v>106772100</v>
      </c>
      <c r="AC52" s="243">
        <v>212.86</v>
      </c>
      <c r="AD52" s="2">
        <f t="shared" si="0"/>
        <v>2.3900000000000148</v>
      </c>
      <c r="AE52" s="138">
        <f t="shared" si="1"/>
        <v>4.5304388862672518E-3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219.93780000000001</v>
      </c>
      <c r="R53" s="83"/>
      <c r="T53" s="87" t="s">
        <v>376</v>
      </c>
      <c r="U53" s="130">
        <v>2.0299999999999998</v>
      </c>
      <c r="W53" s="94">
        <v>42681</v>
      </c>
      <c r="X53" s="365">
        <v>208.55</v>
      </c>
      <c r="Y53" s="40">
        <v>213.19</v>
      </c>
      <c r="Z53" s="40">
        <v>208.55</v>
      </c>
      <c r="AA53" s="365">
        <v>213.15</v>
      </c>
      <c r="AB53" s="95">
        <v>109794900</v>
      </c>
      <c r="AC53" s="243">
        <v>211.9</v>
      </c>
      <c r="AD53" s="2">
        <f t="shared" si="0"/>
        <v>4.6399999999999864</v>
      </c>
      <c r="AE53" s="138">
        <f t="shared" si="1"/>
        <v>2.2042155018569431E-2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217.6704</v>
      </c>
      <c r="R54" s="83"/>
      <c r="T54" s="87"/>
      <c r="U54" s="130"/>
      <c r="W54" s="94">
        <v>42678</v>
      </c>
      <c r="X54" s="365">
        <v>208.91</v>
      </c>
      <c r="Y54" s="40">
        <v>209.89</v>
      </c>
      <c r="Z54" s="40">
        <v>208.38</v>
      </c>
      <c r="AA54" s="365">
        <v>208.55</v>
      </c>
      <c r="AB54" s="95">
        <v>109122100</v>
      </c>
      <c r="AC54" s="243">
        <v>207.33</v>
      </c>
      <c r="AD54" s="2">
        <f t="shared" si="0"/>
        <v>1.5099999999999909</v>
      </c>
      <c r="AE54" s="138">
        <f t="shared" si="1"/>
        <v>-1.1081133166312984E-3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215.40299999999999</v>
      </c>
      <c r="R55" s="83"/>
      <c r="T55" s="87"/>
      <c r="U55" s="130"/>
      <c r="W55" s="94">
        <v>42677</v>
      </c>
      <c r="X55" s="365">
        <v>209.99</v>
      </c>
      <c r="Y55" s="40">
        <v>210.24</v>
      </c>
      <c r="Z55" s="40">
        <v>208.46</v>
      </c>
      <c r="AA55" s="365">
        <v>208.78</v>
      </c>
      <c r="AB55" s="95">
        <v>88939300</v>
      </c>
      <c r="AC55" s="243">
        <v>207.56</v>
      </c>
      <c r="AD55" s="2">
        <f t="shared" si="0"/>
        <v>1.7800000000000011</v>
      </c>
      <c r="AE55" s="138">
        <f t="shared" si="1"/>
        <v>-4.556136396335897E-3</v>
      </c>
    </row>
    <row r="56" spans="1:31" x14ac:dyDescent="0.25">
      <c r="O56" s="2"/>
      <c r="P56" s="83">
        <v>0.94</v>
      </c>
      <c r="Q56" s="83">
        <f t="shared" si="5"/>
        <v>213.13559999999998</v>
      </c>
      <c r="R56" s="83"/>
      <c r="W56" s="94">
        <v>42676</v>
      </c>
      <c r="X56" s="365">
        <v>210.65</v>
      </c>
      <c r="Y56" s="40">
        <v>211.1</v>
      </c>
      <c r="Z56" s="40">
        <v>209.23</v>
      </c>
      <c r="AA56" s="365">
        <v>209.74</v>
      </c>
      <c r="AB56" s="95">
        <v>103330800</v>
      </c>
      <c r="AC56" s="243">
        <v>208.51</v>
      </c>
      <c r="AD56" s="2">
        <f t="shared" si="0"/>
        <v>1.8700000000000045</v>
      </c>
      <c r="AE56" s="138">
        <f t="shared" si="1"/>
        <v>-6.0065786337417659E-3</v>
      </c>
    </row>
    <row r="57" spans="1:31" x14ac:dyDescent="0.25">
      <c r="O57" s="2"/>
      <c r="P57" s="83">
        <v>0.93</v>
      </c>
      <c r="Q57" s="83">
        <f t="shared" si="5"/>
        <v>210.86820000000003</v>
      </c>
      <c r="R57" s="83"/>
      <c r="W57" s="94">
        <v>42675</v>
      </c>
      <c r="X57" s="365">
        <v>212.93</v>
      </c>
      <c r="Y57" s="40">
        <v>212.99</v>
      </c>
      <c r="Z57" s="40">
        <v>209.6</v>
      </c>
      <c r="AA57" s="365">
        <v>211.01</v>
      </c>
      <c r="AB57" s="95">
        <v>122781800</v>
      </c>
      <c r="AC57" s="243">
        <v>209.77</v>
      </c>
      <c r="AD57" s="2">
        <f t="shared" si="0"/>
        <v>3.3900000000000148</v>
      </c>
      <c r="AE57" s="138">
        <f t="shared" si="1"/>
        <v>-7.2408897302413955E-3</v>
      </c>
    </row>
    <row r="58" spans="1:31" x14ac:dyDescent="0.25">
      <c r="O58" s="2"/>
      <c r="P58" s="83">
        <v>0.92</v>
      </c>
      <c r="Q58" s="83">
        <f t="shared" si="5"/>
        <v>208.60080000000002</v>
      </c>
      <c r="R58" s="83"/>
      <c r="W58" s="94">
        <v>42674</v>
      </c>
      <c r="X58" s="365">
        <v>212.93</v>
      </c>
      <c r="Y58" s="40">
        <v>213.19</v>
      </c>
      <c r="Z58" s="40">
        <v>212.36</v>
      </c>
      <c r="AA58" s="365">
        <v>212.55</v>
      </c>
      <c r="AB58" s="95">
        <v>61272500</v>
      </c>
      <c r="AC58" s="243">
        <v>211.3</v>
      </c>
      <c r="AD58" s="2">
        <f t="shared" si="0"/>
        <v>0.82999999999998408</v>
      </c>
      <c r="AE58" s="138">
        <f t="shared" si="1"/>
        <v>4.7328316531869419E-5</v>
      </c>
    </row>
    <row r="59" spans="1:31" x14ac:dyDescent="0.25">
      <c r="O59" s="2"/>
      <c r="P59" s="83">
        <v>0.91</v>
      </c>
      <c r="Q59" s="83">
        <f t="shared" si="5"/>
        <v>206.33340000000001</v>
      </c>
      <c r="R59" s="83"/>
      <c r="W59" s="94">
        <v>42671</v>
      </c>
      <c r="X59" s="365">
        <v>213.14</v>
      </c>
      <c r="Y59" s="40">
        <v>213.93</v>
      </c>
      <c r="Z59" s="40">
        <v>211.71</v>
      </c>
      <c r="AA59" s="365">
        <v>212.54</v>
      </c>
      <c r="AB59" s="95">
        <v>140623200</v>
      </c>
      <c r="AC59" s="243">
        <v>211.29</v>
      </c>
      <c r="AD59" s="2">
        <f t="shared" si="0"/>
        <v>2.2199999999999989</v>
      </c>
      <c r="AE59" s="138">
        <f t="shared" si="1"/>
        <v>-2.9728199320497861E-3</v>
      </c>
    </row>
    <row r="60" spans="1:31" x14ac:dyDescent="0.25">
      <c r="O60" s="2"/>
      <c r="P60" s="83">
        <v>0.9</v>
      </c>
      <c r="Q60" s="83">
        <f t="shared" si="5"/>
        <v>204.066</v>
      </c>
      <c r="R60" s="83"/>
      <c r="W60" s="94">
        <v>42670</v>
      </c>
      <c r="X60" s="365">
        <v>214.58</v>
      </c>
      <c r="Y60" s="40">
        <v>214.62</v>
      </c>
      <c r="Z60" s="40">
        <v>213.08</v>
      </c>
      <c r="AA60" s="365">
        <v>213.17</v>
      </c>
      <c r="AB60" s="95">
        <v>77220200</v>
      </c>
      <c r="AC60" s="243">
        <v>211.92</v>
      </c>
      <c r="AD60" s="2">
        <f t="shared" si="0"/>
        <v>1.539999999999992</v>
      </c>
      <c r="AE60" s="138">
        <f t="shared" si="1"/>
        <v>-2.6824791754906929E-3</v>
      </c>
    </row>
    <row r="61" spans="1:31" x14ac:dyDescent="0.25">
      <c r="W61" s="94">
        <v>42669</v>
      </c>
      <c r="X61" s="365">
        <v>213.21</v>
      </c>
      <c r="Y61" s="40">
        <v>214.42</v>
      </c>
      <c r="Z61" s="40">
        <v>212.93</v>
      </c>
      <c r="AA61" s="365">
        <v>213.74</v>
      </c>
      <c r="AB61" s="95">
        <v>75705500</v>
      </c>
      <c r="AC61" s="243">
        <v>212.49</v>
      </c>
      <c r="AD61" s="2">
        <f t="shared" si="0"/>
        <v>1.4899999999999807</v>
      </c>
      <c r="AE61" s="138">
        <f t="shared" si="1"/>
        <v>-2.0195378545931897E-3</v>
      </c>
    </row>
    <row r="62" spans="1:31" x14ac:dyDescent="0.25">
      <c r="W62" s="94">
        <v>42668</v>
      </c>
      <c r="X62" s="365">
        <v>214.68</v>
      </c>
      <c r="Y62" s="40">
        <v>214.98</v>
      </c>
      <c r="Z62" s="40">
        <v>213.98</v>
      </c>
      <c r="AA62" s="365">
        <v>214.17</v>
      </c>
      <c r="AB62" s="95">
        <v>66542300</v>
      </c>
      <c r="AC62" s="243">
        <v>212.92</v>
      </c>
      <c r="AD62" s="2">
        <f t="shared" si="0"/>
        <v>1</v>
      </c>
      <c r="AE62" s="138">
        <f t="shared" si="1"/>
        <v>-3.3235032532884512E-3</v>
      </c>
    </row>
    <row r="63" spans="1:31" x14ac:dyDescent="0.25">
      <c r="W63" s="94">
        <v>42667</v>
      </c>
      <c r="X63" s="365">
        <v>215</v>
      </c>
      <c r="Y63" s="40">
        <v>215.32</v>
      </c>
      <c r="Z63" s="40">
        <v>214.48</v>
      </c>
      <c r="AA63" s="365">
        <v>214.89</v>
      </c>
      <c r="AB63" s="95">
        <v>60146600</v>
      </c>
      <c r="AC63" s="243">
        <v>213.63</v>
      </c>
      <c r="AD63" s="2">
        <f t="shared" si="0"/>
        <v>0.84000000000000341</v>
      </c>
      <c r="AE63" s="138">
        <f t="shared" si="1"/>
        <v>4.2307149908333841E-3</v>
      </c>
    </row>
    <row r="64" spans="1:31" x14ac:dyDescent="0.25">
      <c r="W64" s="94">
        <v>42664</v>
      </c>
      <c r="X64" s="365">
        <v>213.88</v>
      </c>
      <c r="Y64" s="40">
        <v>214.08</v>
      </c>
      <c r="Z64" s="40">
        <v>212.76</v>
      </c>
      <c r="AA64" s="365">
        <v>213.98</v>
      </c>
      <c r="AB64" s="95">
        <v>89089100</v>
      </c>
      <c r="AC64" s="243">
        <v>212.73</v>
      </c>
      <c r="AD64" s="2">
        <f t="shared" si="0"/>
        <v>1.3200000000000216</v>
      </c>
      <c r="AE64" s="138">
        <f t="shared" si="1"/>
        <v>4.7030052203345107E-4</v>
      </c>
    </row>
    <row r="65" spans="23:31" x14ac:dyDescent="0.25">
      <c r="W65" s="94">
        <v>42663</v>
      </c>
      <c r="X65" s="365">
        <v>213.87</v>
      </c>
      <c r="Y65" s="40">
        <v>214.53</v>
      </c>
      <c r="Z65" s="40">
        <v>213.11</v>
      </c>
      <c r="AA65" s="365">
        <v>213.88</v>
      </c>
      <c r="AB65" s="95">
        <v>73639800</v>
      </c>
      <c r="AC65" s="243">
        <v>212.63</v>
      </c>
      <c r="AD65" s="2">
        <f t="shared" si="0"/>
        <v>1.4199999999999875</v>
      </c>
      <c r="AE65" s="138">
        <f t="shared" si="1"/>
        <v>-1.8308140080743884E-3</v>
      </c>
    </row>
    <row r="66" spans="23:31" x14ac:dyDescent="0.25">
      <c r="W66" s="94">
        <v>42662</v>
      </c>
      <c r="X66" s="365">
        <v>214.02</v>
      </c>
      <c r="Y66" s="40">
        <v>214.64</v>
      </c>
      <c r="Z66" s="40">
        <v>213.6</v>
      </c>
      <c r="AA66" s="365">
        <v>214.28</v>
      </c>
      <c r="AB66" s="95">
        <v>66519200</v>
      </c>
      <c r="AC66" s="243">
        <v>213.02</v>
      </c>
      <c r="AD66" s="2">
        <f t="shared" si="0"/>
        <v>1.039999999999992</v>
      </c>
      <c r="AE66" s="138">
        <f t="shared" si="1"/>
        <v>2.6357902664031485E-3</v>
      </c>
    </row>
    <row r="67" spans="23:31" x14ac:dyDescent="0.25">
      <c r="W67" s="94">
        <v>42661</v>
      </c>
      <c r="X67" s="365">
        <v>214.24</v>
      </c>
      <c r="Y67" s="40">
        <v>214.31</v>
      </c>
      <c r="Z67" s="40">
        <v>213.27</v>
      </c>
      <c r="AA67" s="365">
        <v>213.71</v>
      </c>
      <c r="AB67" s="95">
        <v>76869700</v>
      </c>
      <c r="AC67" s="243">
        <v>212.46</v>
      </c>
      <c r="AD67" s="2">
        <f t="shared" si="0"/>
        <v>1.039999999999992</v>
      </c>
      <c r="AE67" s="138">
        <f t="shared" si="1"/>
        <v>6.251776072748072E-3</v>
      </c>
    </row>
    <row r="68" spans="23:31" x14ac:dyDescent="0.25">
      <c r="W68" s="94">
        <v>42660</v>
      </c>
      <c r="X68" s="10">
        <v>213.09</v>
      </c>
      <c r="Y68" s="40">
        <v>213.39</v>
      </c>
      <c r="Z68" s="40">
        <v>212.17</v>
      </c>
      <c r="AA68" s="10">
        <v>212.38</v>
      </c>
      <c r="AB68" s="95">
        <v>58275700</v>
      </c>
      <c r="AC68" s="243">
        <v>211.14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3" priority="19">
      <formula>F25&gt;0</formula>
    </cfRule>
    <cfRule type="expression" dxfId="47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1" priority="11">
      <formula>F28&gt;0</formula>
    </cfRule>
    <cfRule type="expression" dxfId="470" priority="12">
      <formula>F28&lt;0</formula>
    </cfRule>
  </conditionalFormatting>
  <conditionalFormatting sqref="F28:F35">
    <cfRule type="expression" dxfId="469" priority="13">
      <formula>F28&gt;0</formula>
    </cfRule>
    <cfRule type="expression" dxfId="468" priority="14">
      <formula>F28&lt;0</formula>
    </cfRule>
  </conditionalFormatting>
  <conditionalFormatting sqref="H25:H35">
    <cfRule type="expression" dxfId="467" priority="9">
      <formula>H25&gt;0</formula>
    </cfRule>
    <cfRule type="expression" dxfId="466" priority="10">
      <formula>H25&lt;0</formula>
    </cfRule>
  </conditionalFormatting>
  <conditionalFormatting sqref="F21:F24">
    <cfRule type="expression" dxfId="465" priority="7">
      <formula>F21&gt;0</formula>
    </cfRule>
    <cfRule type="expression" dxfId="464" priority="8">
      <formula>F21&lt;0</formula>
    </cfRule>
  </conditionalFormatting>
  <conditionalFormatting sqref="H21:H24">
    <cfRule type="expression" dxfId="463" priority="5">
      <formula>H21&gt;0</formula>
    </cfRule>
    <cfRule type="expression" dxfId="462" priority="6">
      <formula>H21&lt;0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42755</v>
      </c>
      <c r="X2" s="10">
        <v>85</v>
      </c>
      <c r="Y2" s="40">
        <v>88.9</v>
      </c>
      <c r="Z2" s="40">
        <v>84.69</v>
      </c>
      <c r="AA2" s="10">
        <v>88.67</v>
      </c>
      <c r="AB2" s="95">
        <v>15751400</v>
      </c>
      <c r="AC2" s="243">
        <v>88.67</v>
      </c>
      <c r="AD2" s="2">
        <f>Y2-Z2</f>
        <v>4.210000000000008</v>
      </c>
      <c r="AE2" s="138">
        <f>AC2/AC3-1</f>
        <v>0.1301300025490697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88.67</v>
      </c>
      <c r="T3" s="121"/>
      <c r="W3" s="94">
        <v>42754</v>
      </c>
      <c r="X3" s="10">
        <v>78.87</v>
      </c>
      <c r="Y3" s="40">
        <v>79.45</v>
      </c>
      <c r="Z3" s="40">
        <v>78.180000000000007</v>
      </c>
      <c r="AA3" s="10">
        <v>78.459999999999994</v>
      </c>
      <c r="AB3" s="95">
        <v>3644400</v>
      </c>
      <c r="AC3" s="243">
        <v>78.459999999999994</v>
      </c>
      <c r="AD3" s="2">
        <f>Y3-Z3</f>
        <v>1.269999999999996</v>
      </c>
      <c r="AE3" s="138">
        <f>AC3/AC4-1</f>
        <v>-1.0218241453261001E-2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88.67</v>
      </c>
      <c r="R4" s="505">
        <v>0.13009999999999999</v>
      </c>
      <c r="T4" s="121"/>
      <c r="W4" s="94">
        <v>42753</v>
      </c>
      <c r="X4" s="10">
        <v>77.39</v>
      </c>
      <c r="Y4" s="40">
        <v>79.27</v>
      </c>
      <c r="Z4" s="40">
        <v>77.16</v>
      </c>
      <c r="AA4" s="10">
        <v>79.27</v>
      </c>
      <c r="AB4" s="95">
        <v>3094600</v>
      </c>
      <c r="AC4" s="243">
        <v>79.27</v>
      </c>
      <c r="AD4" s="2">
        <f t="shared" ref="AD4:AD67" si="0">Y4-Z4</f>
        <v>2.1099999999999994</v>
      </c>
      <c r="AE4" s="138">
        <f t="shared" ref="AE4:AE66" si="1">AC4/AC5-1</f>
        <v>3.0953309923266836E-2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42752</v>
      </c>
      <c r="X5" s="10">
        <v>77.64</v>
      </c>
      <c r="Y5" s="40">
        <v>78.430000000000007</v>
      </c>
      <c r="Z5" s="40">
        <v>76.489999999999995</v>
      </c>
      <c r="AA5" s="10">
        <v>76.89</v>
      </c>
      <c r="AB5" s="95">
        <v>2391300</v>
      </c>
      <c r="AC5" s="243">
        <v>76.89</v>
      </c>
      <c r="AD5" s="2">
        <f t="shared" si="0"/>
        <v>1.9400000000000119</v>
      </c>
      <c r="AE5" s="138">
        <f t="shared" si="1"/>
        <v>-1.8383761011106836E-2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42748</v>
      </c>
      <c r="X6" s="10">
        <v>76.91</v>
      </c>
      <c r="Y6" s="40">
        <v>78.489999999999995</v>
      </c>
      <c r="Z6" s="40">
        <v>76.69</v>
      </c>
      <c r="AA6" s="10">
        <v>78.33</v>
      </c>
      <c r="AB6" s="95">
        <v>1960800</v>
      </c>
      <c r="AC6" s="243">
        <v>78.33</v>
      </c>
      <c r="AD6" s="2">
        <f t="shared" si="0"/>
        <v>1.7999999999999972</v>
      </c>
      <c r="AE6" s="138">
        <f t="shared" si="1"/>
        <v>2.0586319218240945E-2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42747</v>
      </c>
      <c r="X7" s="10">
        <v>76.2</v>
      </c>
      <c r="Y7" s="40">
        <v>76.91</v>
      </c>
      <c r="Z7" s="40">
        <v>74.67</v>
      </c>
      <c r="AA7" s="10">
        <v>76.75</v>
      </c>
      <c r="AB7" s="95">
        <v>4264800</v>
      </c>
      <c r="AC7" s="243">
        <v>76.75</v>
      </c>
      <c r="AD7" s="2">
        <f t="shared" si="0"/>
        <v>2.2399999999999949</v>
      </c>
      <c r="AE7" s="138">
        <f t="shared" si="1"/>
        <v>-2.1170769034561832E-2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42746</v>
      </c>
      <c r="X8" s="10">
        <v>77.33</v>
      </c>
      <c r="Y8" s="40">
        <v>78.72</v>
      </c>
      <c r="Z8" s="40">
        <v>76.510000000000005</v>
      </c>
      <c r="AA8" s="10">
        <v>78.41</v>
      </c>
      <c r="AB8" s="95">
        <v>2118900</v>
      </c>
      <c r="AC8" s="243">
        <v>78.41</v>
      </c>
      <c r="AD8" s="2">
        <f t="shared" si="0"/>
        <v>2.2099999999999937</v>
      </c>
      <c r="AE8" s="138">
        <f t="shared" si="1"/>
        <v>1.4228430992109686E-2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P9"/>
      <c r="Q9" s="138">
        <f>IF(Q2=0, 0, Q8/Q6)</f>
        <v>0</v>
      </c>
      <c r="W9" s="94">
        <v>42745</v>
      </c>
      <c r="X9" s="10">
        <v>75.69</v>
      </c>
      <c r="Y9" s="40">
        <v>77.52</v>
      </c>
      <c r="Z9" s="40">
        <v>75.66</v>
      </c>
      <c r="AA9" s="10">
        <v>77.31</v>
      </c>
      <c r="AB9" s="95">
        <v>1767700</v>
      </c>
      <c r="AC9" s="243">
        <v>77.31</v>
      </c>
      <c r="AD9" s="2">
        <f t="shared" si="0"/>
        <v>1.8599999999999994</v>
      </c>
      <c r="AE9" s="138">
        <f t="shared" si="1"/>
        <v>2.1943159286186287E-2</v>
      </c>
      <c r="AK9" s="234"/>
      <c r="AN9" s="234"/>
    </row>
    <row r="10" spans="1:40" ht="12.75" customHeight="1" x14ac:dyDescent="0.25">
      <c r="H10" s="72"/>
      <c r="O10" s="11" t="s">
        <v>214</v>
      </c>
      <c r="Q10" s="2">
        <f>M48+M61</f>
        <v>1368.8999999999978</v>
      </c>
      <c r="W10" s="94">
        <v>42744</v>
      </c>
      <c r="X10" s="10">
        <v>75.959999999999994</v>
      </c>
      <c r="Y10" s="40">
        <v>76.959999999999994</v>
      </c>
      <c r="Z10" s="40">
        <v>75.23</v>
      </c>
      <c r="AA10" s="10">
        <v>75.650000000000006</v>
      </c>
      <c r="AB10" s="95">
        <v>2331200</v>
      </c>
      <c r="AC10" s="243">
        <v>75.650000000000006</v>
      </c>
      <c r="AD10" s="2">
        <f t="shared" si="0"/>
        <v>1.7299999999999898</v>
      </c>
      <c r="AE10" s="138">
        <f t="shared" si="1"/>
        <v>9.2049092849522118E-3</v>
      </c>
    </row>
    <row r="11" spans="1:40" x14ac:dyDescent="0.25">
      <c r="H11" s="72"/>
      <c r="O11" s="11" t="s">
        <v>179</v>
      </c>
      <c r="Q11" s="138">
        <f>VALUE(TRIM(CLEAN(MID(U55, FIND("(", U55)+1, 5))))</f>
        <v>1.26E-2</v>
      </c>
      <c r="W11" s="94">
        <v>42741</v>
      </c>
      <c r="X11" s="10">
        <v>74.819999999999993</v>
      </c>
      <c r="Y11" s="40">
        <v>75.48</v>
      </c>
      <c r="Z11" s="40">
        <v>74.319999999999993</v>
      </c>
      <c r="AA11" s="10">
        <v>74.959999999999994</v>
      </c>
      <c r="AB11" s="95">
        <v>1608700</v>
      </c>
      <c r="AC11" s="243">
        <v>74.959999999999994</v>
      </c>
      <c r="AD11" s="2">
        <f t="shared" si="0"/>
        <v>1.1600000000000108</v>
      </c>
      <c r="AE11" s="138">
        <f t="shared" si="1"/>
        <v>5.2299852487596166E-3</v>
      </c>
      <c r="AK11" s="234"/>
      <c r="AN11" s="234"/>
    </row>
    <row r="12" spans="1:40" x14ac:dyDescent="0.25">
      <c r="H12" s="72"/>
      <c r="W12" s="94">
        <v>42740</v>
      </c>
      <c r="X12" s="10">
        <v>74.66</v>
      </c>
      <c r="Y12" s="40">
        <v>75.38</v>
      </c>
      <c r="Z12" s="40">
        <v>73.94</v>
      </c>
      <c r="AA12" s="10">
        <v>74.569999999999993</v>
      </c>
      <c r="AB12" s="95">
        <v>1826800</v>
      </c>
      <c r="AC12" s="243">
        <v>74.569999999999993</v>
      </c>
      <c r="AD12" s="2">
        <f t="shared" si="0"/>
        <v>1.4399999999999977</v>
      </c>
      <c r="AE12" s="138">
        <f t="shared" si="1"/>
        <v>-5.6007467662355648E-3</v>
      </c>
    </row>
    <row r="13" spans="1:40" x14ac:dyDescent="0.25">
      <c r="H13" s="72"/>
      <c r="W13" s="94">
        <v>42739</v>
      </c>
      <c r="X13" s="10">
        <v>75.459999999999994</v>
      </c>
      <c r="Y13" s="40">
        <v>75.66</v>
      </c>
      <c r="Z13" s="40">
        <v>74.5</v>
      </c>
      <c r="AA13" s="10">
        <v>74.989999999999995</v>
      </c>
      <c r="AB13" s="95">
        <v>1678500</v>
      </c>
      <c r="AC13" s="243">
        <v>74.989999999999995</v>
      </c>
      <c r="AD13" s="2">
        <f t="shared" si="0"/>
        <v>1.1599999999999966</v>
      </c>
      <c r="AE13" s="138">
        <f t="shared" si="1"/>
        <v>-2.1290751829675658E-3</v>
      </c>
      <c r="AK13" s="234"/>
      <c r="AN13" s="234"/>
    </row>
    <row r="14" spans="1:40" x14ac:dyDescent="0.25">
      <c r="H14" s="72"/>
      <c r="T14" s="84"/>
      <c r="U14" s="11"/>
      <c r="W14" s="94">
        <v>42738</v>
      </c>
      <c r="X14" s="10">
        <v>75.22</v>
      </c>
      <c r="Y14" s="40">
        <v>76.239999999999995</v>
      </c>
      <c r="Z14" s="40">
        <v>74.400000000000006</v>
      </c>
      <c r="AA14" s="10">
        <v>75.150000000000006</v>
      </c>
      <c r="AB14" s="95">
        <v>2605600</v>
      </c>
      <c r="AC14" s="243">
        <v>75.150000000000006</v>
      </c>
      <c r="AD14" s="2">
        <f t="shared" si="0"/>
        <v>1.8399999999999892</v>
      </c>
      <c r="AE14" s="138">
        <f t="shared" si="1"/>
        <v>6.5630859898206939E-3</v>
      </c>
    </row>
    <row r="15" spans="1:40" x14ac:dyDescent="0.25">
      <c r="H15" s="72"/>
      <c r="W15" s="94">
        <v>42734</v>
      </c>
      <c r="X15" s="10">
        <v>76.83</v>
      </c>
      <c r="Y15" s="40">
        <v>76.83</v>
      </c>
      <c r="Z15" s="40">
        <v>74.319999999999993</v>
      </c>
      <c r="AA15" s="10">
        <v>74.66</v>
      </c>
      <c r="AB15" s="95">
        <v>1844400</v>
      </c>
      <c r="AC15" s="243">
        <v>74.66</v>
      </c>
      <c r="AD15" s="2">
        <f t="shared" si="0"/>
        <v>2.5100000000000051</v>
      </c>
      <c r="AE15" s="138">
        <f t="shared" si="1"/>
        <v>-2.4817136886102431E-2</v>
      </c>
      <c r="AK15" s="234"/>
      <c r="AN15" s="234"/>
    </row>
    <row r="16" spans="1:40" x14ac:dyDescent="0.25">
      <c r="H16" s="72"/>
      <c r="W16" s="94">
        <v>42733</v>
      </c>
      <c r="X16" s="10">
        <v>76.739999999999995</v>
      </c>
      <c r="Y16" s="40">
        <v>77.12</v>
      </c>
      <c r="Z16" s="40">
        <v>75.63</v>
      </c>
      <c r="AA16" s="10">
        <v>76.56</v>
      </c>
      <c r="AB16" s="95">
        <v>1164900</v>
      </c>
      <c r="AC16" s="243">
        <v>76.56</v>
      </c>
      <c r="AD16" s="2">
        <f t="shared" si="0"/>
        <v>1.4900000000000091</v>
      </c>
      <c r="AE16" s="138">
        <f t="shared" si="1"/>
        <v>-6.1015188887446614E-3</v>
      </c>
    </row>
    <row r="17" spans="1:40" x14ac:dyDescent="0.25">
      <c r="H17" s="72"/>
      <c r="W17" s="94">
        <v>42732</v>
      </c>
      <c r="X17" s="10">
        <v>78.47</v>
      </c>
      <c r="Y17" s="40">
        <v>78.599999999999994</v>
      </c>
      <c r="Z17" s="40">
        <v>76.91</v>
      </c>
      <c r="AA17" s="10">
        <v>77.03</v>
      </c>
      <c r="AB17" s="95">
        <v>1062600</v>
      </c>
      <c r="AC17" s="243">
        <v>77.03</v>
      </c>
      <c r="AD17" s="2">
        <f t="shared" si="0"/>
        <v>1.6899999999999977</v>
      </c>
      <c r="AE17" s="138">
        <f t="shared" si="1"/>
        <v>-1.6596450912804817E-2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42731</v>
      </c>
      <c r="X18" s="10">
        <v>77.900000000000006</v>
      </c>
      <c r="Y18" s="40">
        <v>78.83</v>
      </c>
      <c r="Z18" s="40">
        <v>77.66</v>
      </c>
      <c r="AA18" s="10">
        <v>78.33</v>
      </c>
      <c r="AB18" s="95">
        <v>718300</v>
      </c>
      <c r="AC18" s="243">
        <v>78.33</v>
      </c>
      <c r="AD18" s="2">
        <f t="shared" si="0"/>
        <v>1.1700000000000017</v>
      </c>
      <c r="AE18" s="138">
        <f t="shared" si="1"/>
        <v>3.8446751249519018E-3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42727</v>
      </c>
      <c r="X19" s="10">
        <v>78.22</v>
      </c>
      <c r="Y19" s="40">
        <v>78.45</v>
      </c>
      <c r="Z19" s="40">
        <v>77.62</v>
      </c>
      <c r="AA19" s="10">
        <v>78.03</v>
      </c>
      <c r="AB19" s="95">
        <v>826700</v>
      </c>
      <c r="AC19" s="243">
        <v>78.03</v>
      </c>
      <c r="AD19" s="2">
        <f t="shared" si="0"/>
        <v>0.82999999999999829</v>
      </c>
      <c r="AE19" s="138">
        <f t="shared" si="1"/>
        <v>-1.5355086372361715E-3</v>
      </c>
      <c r="AK19" s="234"/>
      <c r="AN19" s="234"/>
    </row>
    <row r="20" spans="1:40" x14ac:dyDescent="0.25">
      <c r="W20" s="94">
        <v>42726</v>
      </c>
      <c r="X20" s="10">
        <v>77.930000000000007</v>
      </c>
      <c r="Y20" s="40">
        <v>78.33</v>
      </c>
      <c r="Z20" s="40">
        <v>77</v>
      </c>
      <c r="AA20" s="10">
        <v>78.150000000000006</v>
      </c>
      <c r="AB20" s="95">
        <v>1705300</v>
      </c>
      <c r="AC20" s="243">
        <v>78.150000000000006</v>
      </c>
      <c r="AD20" s="2">
        <f t="shared" si="0"/>
        <v>1.3299999999999983</v>
      </c>
      <c r="AE20" s="138">
        <f t="shared" si="1"/>
        <v>1.40132347216817E-2</v>
      </c>
    </row>
    <row r="21" spans="1:40" x14ac:dyDescent="0.25">
      <c r="W21" s="94">
        <v>42725</v>
      </c>
      <c r="X21" s="10">
        <v>76.66</v>
      </c>
      <c r="Y21" s="40">
        <v>77.150000000000006</v>
      </c>
      <c r="Z21" s="40">
        <v>76.010000000000005</v>
      </c>
      <c r="AA21" s="10">
        <v>77.069999999999993</v>
      </c>
      <c r="AB21" s="95">
        <v>1494900</v>
      </c>
      <c r="AC21" s="243">
        <v>77.069999999999993</v>
      </c>
      <c r="AD21" s="2">
        <f t="shared" si="0"/>
        <v>1.1400000000000006</v>
      </c>
      <c r="AE21" s="138">
        <f t="shared" si="1"/>
        <v>6.0044380629160621E-3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42724</v>
      </c>
      <c r="X22" s="10">
        <v>77.52</v>
      </c>
      <c r="Y22" s="40">
        <v>77.790000000000006</v>
      </c>
      <c r="Z22" s="40">
        <v>76.319999999999993</v>
      </c>
      <c r="AA22" s="10">
        <v>76.61</v>
      </c>
      <c r="AB22" s="95">
        <v>1339400</v>
      </c>
      <c r="AC22" s="243">
        <v>76.61</v>
      </c>
      <c r="AD22" s="2">
        <f t="shared" si="0"/>
        <v>1.4700000000000131</v>
      </c>
      <c r="AE22" s="138">
        <f t="shared" si="1"/>
        <v>-1.0717975206611552E-2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42723</v>
      </c>
      <c r="X23" s="10">
        <v>76.95</v>
      </c>
      <c r="Y23" s="40">
        <v>78.33</v>
      </c>
      <c r="Z23" s="40">
        <v>76.91</v>
      </c>
      <c r="AA23" s="10">
        <v>77.44</v>
      </c>
      <c r="AB23" s="95">
        <v>1114900</v>
      </c>
      <c r="AC23" s="243">
        <v>77.44</v>
      </c>
      <c r="AD23" s="2">
        <f t="shared" si="0"/>
        <v>1.4200000000000017</v>
      </c>
      <c r="AE23" s="138">
        <f t="shared" si="1"/>
        <v>8.2020570238250379E-3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42720</v>
      </c>
      <c r="X24" s="10">
        <v>77.510000000000005</v>
      </c>
      <c r="Y24" s="40">
        <v>78.59</v>
      </c>
      <c r="Z24" s="40">
        <v>76.67</v>
      </c>
      <c r="AA24" s="10">
        <v>76.81</v>
      </c>
      <c r="AB24" s="95">
        <v>2276200</v>
      </c>
      <c r="AC24" s="243">
        <v>76.81</v>
      </c>
      <c r="AD24" s="2">
        <f t="shared" si="0"/>
        <v>1.9200000000000017</v>
      </c>
      <c r="AE24" s="138">
        <f t="shared" si="1"/>
        <v>-5.1806760782281414E-3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42719</v>
      </c>
      <c r="X25" s="10">
        <v>75.209999999999994</v>
      </c>
      <c r="Y25" s="40">
        <v>77.83</v>
      </c>
      <c r="Z25" s="40">
        <v>74.63</v>
      </c>
      <c r="AA25" s="10">
        <v>77.209999999999994</v>
      </c>
      <c r="AB25" s="95">
        <v>2330900</v>
      </c>
      <c r="AC25" s="243">
        <v>77.209999999999994</v>
      </c>
      <c r="AD25" s="2">
        <f t="shared" si="0"/>
        <v>3.2000000000000028</v>
      </c>
      <c r="AE25" s="138">
        <f t="shared" si="1"/>
        <v>2.7548575991482416E-2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42718</v>
      </c>
      <c r="X26" s="10">
        <v>76.489999999999995</v>
      </c>
      <c r="Y26" s="40">
        <v>77</v>
      </c>
      <c r="Z26" s="40">
        <v>74.62</v>
      </c>
      <c r="AA26" s="10">
        <v>75.14</v>
      </c>
      <c r="AB26" s="95">
        <v>2598200</v>
      </c>
      <c r="AC26" s="243">
        <v>75.14</v>
      </c>
      <c r="AD26" s="2">
        <f t="shared" si="0"/>
        <v>2.3799999999999955</v>
      </c>
      <c r="AE26" s="138">
        <f t="shared" si="1"/>
        <v>-2.2632674297606625E-2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42717</v>
      </c>
      <c r="X27" s="10">
        <v>76.8</v>
      </c>
      <c r="Y27" s="40">
        <v>77.63</v>
      </c>
      <c r="Z27" s="40">
        <v>75.95</v>
      </c>
      <c r="AA27" s="10">
        <v>76.88</v>
      </c>
      <c r="AB27" s="95">
        <v>1700700</v>
      </c>
      <c r="AC27" s="243">
        <v>76.88</v>
      </c>
      <c r="AD27" s="2">
        <f t="shared" si="0"/>
        <v>1.6799999999999926</v>
      </c>
      <c r="AE27" s="138">
        <f t="shared" si="1"/>
        <v>8.1300813008129413E-3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42716</v>
      </c>
      <c r="X28" s="10">
        <v>76.36</v>
      </c>
      <c r="Y28" s="40">
        <v>77.08</v>
      </c>
      <c r="Z28" s="40">
        <v>75.37</v>
      </c>
      <c r="AA28" s="10">
        <v>76.260000000000005</v>
      </c>
      <c r="AB28" s="95">
        <v>2302900</v>
      </c>
      <c r="AC28" s="243">
        <v>76.260000000000005</v>
      </c>
      <c r="AD28" s="2">
        <f t="shared" si="0"/>
        <v>1.7099999999999937</v>
      </c>
      <c r="AE28" s="138">
        <f t="shared" si="1"/>
        <v>-8.7092161705446536E-3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42713</v>
      </c>
      <c r="X29" s="10">
        <v>80.599999999999994</v>
      </c>
      <c r="Y29" s="40">
        <v>81.040000000000006</v>
      </c>
      <c r="Z29" s="40">
        <v>75.650000000000006</v>
      </c>
      <c r="AA29" s="10">
        <v>76.930000000000007</v>
      </c>
      <c r="AB29" s="95">
        <v>4747300</v>
      </c>
      <c r="AC29" s="243">
        <v>76.930000000000007</v>
      </c>
      <c r="AD29" s="2">
        <f t="shared" si="0"/>
        <v>5.3900000000000006</v>
      </c>
      <c r="AE29" s="138">
        <f t="shared" si="1"/>
        <v>-3.2570422535211141E-2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42712</v>
      </c>
      <c r="X30" s="10">
        <v>77.3</v>
      </c>
      <c r="Y30" s="40">
        <v>79.739999999999995</v>
      </c>
      <c r="Z30" s="40">
        <v>76.98</v>
      </c>
      <c r="AA30" s="10">
        <v>79.52</v>
      </c>
      <c r="AB30" s="95">
        <v>2696700</v>
      </c>
      <c r="AC30" s="243">
        <v>79.52</v>
      </c>
      <c r="AD30" s="2">
        <f t="shared" si="0"/>
        <v>2.7599999999999909</v>
      </c>
      <c r="AE30" s="138">
        <f t="shared" si="1"/>
        <v>2.8187225239203473E-2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42711</v>
      </c>
      <c r="X31" s="10">
        <v>75.78</v>
      </c>
      <c r="Y31" s="40">
        <v>77.66</v>
      </c>
      <c r="Z31" s="40">
        <v>74.25</v>
      </c>
      <c r="AA31" s="10">
        <v>77.34</v>
      </c>
      <c r="AB31" s="95">
        <v>2455100</v>
      </c>
      <c r="AC31" s="243">
        <v>77.34</v>
      </c>
      <c r="AD31" s="2">
        <f t="shared" si="0"/>
        <v>3.4099999999999966</v>
      </c>
      <c r="AE31" s="138">
        <f t="shared" si="1"/>
        <v>1.5360378101614724E-2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42710</v>
      </c>
      <c r="X32" s="10">
        <v>75.33</v>
      </c>
      <c r="Y32" s="40">
        <v>76.55</v>
      </c>
      <c r="Z32" s="40">
        <v>74.819999999999993</v>
      </c>
      <c r="AA32" s="10">
        <v>76.17</v>
      </c>
      <c r="AB32" s="95">
        <v>3297200</v>
      </c>
      <c r="AC32" s="243">
        <v>76.17</v>
      </c>
      <c r="AD32" s="2">
        <f t="shared" si="0"/>
        <v>1.730000000000004</v>
      </c>
      <c r="AE32" s="138">
        <f t="shared" si="1"/>
        <v>1.8043303929430765E-2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42709</v>
      </c>
      <c r="X33" s="10">
        <v>73.72</v>
      </c>
      <c r="Y33" s="40">
        <v>74.98</v>
      </c>
      <c r="Z33" s="40">
        <v>73.489999999999995</v>
      </c>
      <c r="AA33" s="10">
        <v>74.819999999999993</v>
      </c>
      <c r="AB33" s="95">
        <v>2898000</v>
      </c>
      <c r="AC33" s="243">
        <v>74.819999999999993</v>
      </c>
      <c r="AD33" s="2">
        <f t="shared" si="0"/>
        <v>1.4900000000000091</v>
      </c>
      <c r="AE33" s="138">
        <f t="shared" si="1"/>
        <v>2.0179983637850896E-2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42706</v>
      </c>
      <c r="X34" s="10">
        <v>71.69</v>
      </c>
      <c r="Y34" s="40">
        <v>73.44</v>
      </c>
      <c r="Z34" s="40">
        <v>71.650000000000006</v>
      </c>
      <c r="AA34" s="10">
        <v>73.34</v>
      </c>
      <c r="AB34" s="95">
        <v>1924700</v>
      </c>
      <c r="AC34" s="243">
        <v>73.34</v>
      </c>
      <c r="AD34" s="2">
        <f t="shared" si="0"/>
        <v>1.789999999999992</v>
      </c>
      <c r="AE34" s="138">
        <f t="shared" si="1"/>
        <v>2.1733073279465165E-2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42705</v>
      </c>
      <c r="X35" s="10">
        <v>76.92</v>
      </c>
      <c r="Y35" s="40">
        <v>77.069999999999993</v>
      </c>
      <c r="Z35" s="40">
        <v>71.650000000000006</v>
      </c>
      <c r="AA35" s="10">
        <v>71.78</v>
      </c>
      <c r="AB35" s="95">
        <v>4084000</v>
      </c>
      <c r="AC35" s="243">
        <v>71.78</v>
      </c>
      <c r="AD35" s="2">
        <f t="shared" si="0"/>
        <v>5.4199999999999875</v>
      </c>
      <c r="AE35" s="138">
        <f t="shared" si="1"/>
        <v>-6.5972674040338242E-2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261</v>
      </c>
      <c r="O36" s="11"/>
      <c r="P36" s="259" t="s">
        <v>78</v>
      </c>
      <c r="Q36" s="259"/>
      <c r="R36" s="34"/>
      <c r="W36" s="94">
        <v>42704</v>
      </c>
      <c r="X36" s="10">
        <v>77.489999999999995</v>
      </c>
      <c r="Y36" s="40">
        <v>77.790000000000006</v>
      </c>
      <c r="Z36" s="40">
        <v>76.44</v>
      </c>
      <c r="AA36" s="10">
        <v>76.849999999999994</v>
      </c>
      <c r="AB36" s="95">
        <v>1581500</v>
      </c>
      <c r="AC36" s="243">
        <v>76.849999999999994</v>
      </c>
      <c r="AD36" s="2">
        <f t="shared" si="0"/>
        <v>1.3500000000000085</v>
      </c>
      <c r="AE36" s="138">
        <f t="shared" si="1"/>
        <v>-4.7915047915048081E-3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97.537000000000006</v>
      </c>
      <c r="R37" s="34"/>
      <c r="W37" s="94">
        <v>42703</v>
      </c>
      <c r="X37" s="10">
        <v>77.09</v>
      </c>
      <c r="Y37" s="40">
        <v>77.72</v>
      </c>
      <c r="Z37" s="40">
        <v>76.28</v>
      </c>
      <c r="AA37" s="10">
        <v>77.22</v>
      </c>
      <c r="AB37" s="95">
        <v>1717000</v>
      </c>
      <c r="AC37" s="243">
        <v>77.22</v>
      </c>
      <c r="AD37" s="2">
        <f t="shared" si="0"/>
        <v>1.4399999999999977</v>
      </c>
      <c r="AE37" s="138">
        <f t="shared" si="1"/>
        <v>-1.0349288486416475E-3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266</v>
      </c>
      <c r="O38" s="2"/>
      <c r="P38" s="83">
        <v>1.0900000000000001</v>
      </c>
      <c r="Q38" s="83">
        <f t="shared" ref="Q38:Q57" si="48">P38*$Q$4</f>
        <v>96.650300000000016</v>
      </c>
      <c r="R38" s="34"/>
      <c r="W38" s="94">
        <v>42702</v>
      </c>
      <c r="X38" s="10">
        <v>77.06</v>
      </c>
      <c r="Y38" s="40">
        <v>77.84</v>
      </c>
      <c r="Z38" s="40">
        <v>75.819999999999993</v>
      </c>
      <c r="AA38" s="10">
        <v>77.3</v>
      </c>
      <c r="AB38" s="95">
        <v>1803400</v>
      </c>
      <c r="AC38" s="243">
        <v>77.3</v>
      </c>
      <c r="AD38" s="2">
        <f t="shared" si="0"/>
        <v>2.0200000000000102</v>
      </c>
      <c r="AE38" s="138">
        <f t="shared" si="1"/>
        <v>3.7657447084793461E-3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95.763600000000011</v>
      </c>
      <c r="R39" s="34"/>
      <c r="T39" s="91" t="s">
        <v>113</v>
      </c>
      <c r="W39" s="94">
        <v>42699</v>
      </c>
      <c r="X39" s="10">
        <v>78.27</v>
      </c>
      <c r="Y39" s="40">
        <v>78.31</v>
      </c>
      <c r="Z39" s="40">
        <v>76.489999999999995</v>
      </c>
      <c r="AA39" s="10">
        <v>77.010000000000005</v>
      </c>
      <c r="AB39" s="95">
        <v>1174700</v>
      </c>
      <c r="AC39" s="243">
        <v>77.010000000000005</v>
      </c>
      <c r="AD39" s="2">
        <f t="shared" si="0"/>
        <v>1.8200000000000074</v>
      </c>
      <c r="AE39" s="138">
        <f t="shared" si="1"/>
        <v>-1.6600689567105031E-2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94.876900000000006</v>
      </c>
      <c r="R40" s="83"/>
      <c r="T40" s="97" t="s">
        <v>98</v>
      </c>
      <c r="U40" s="129">
        <v>78.459999999999994</v>
      </c>
      <c r="W40" s="94">
        <v>42697</v>
      </c>
      <c r="X40" s="10">
        <v>79.209999999999994</v>
      </c>
      <c r="Y40" s="40">
        <v>79.510000000000005</v>
      </c>
      <c r="Z40" s="40">
        <v>78.02</v>
      </c>
      <c r="AA40" s="10">
        <v>78.31</v>
      </c>
      <c r="AB40" s="95">
        <v>1585100</v>
      </c>
      <c r="AC40" s="243">
        <v>78.31</v>
      </c>
      <c r="AD40" s="2">
        <f t="shared" si="0"/>
        <v>1.4900000000000091</v>
      </c>
      <c r="AE40" s="138">
        <f t="shared" si="1"/>
        <v>-1.3230846774193505E-2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93.990200000000002</v>
      </c>
      <c r="R41" s="83"/>
      <c r="T41" s="87" t="s">
        <v>99</v>
      </c>
      <c r="U41" s="130">
        <v>85</v>
      </c>
      <c r="W41" s="94">
        <v>42696</v>
      </c>
      <c r="X41" s="10">
        <v>79.39</v>
      </c>
      <c r="Y41" s="40">
        <v>80.14</v>
      </c>
      <c r="Z41" s="40">
        <v>78.989999999999995</v>
      </c>
      <c r="AA41" s="10">
        <v>79.36</v>
      </c>
      <c r="AB41" s="95">
        <v>1218500</v>
      </c>
      <c r="AC41" s="243">
        <v>79.36</v>
      </c>
      <c r="AD41" s="2">
        <f t="shared" si="0"/>
        <v>1.1500000000000057</v>
      </c>
      <c r="AE41" s="138">
        <f t="shared" si="1"/>
        <v>5.4478651970100156E-3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93.103500000000011</v>
      </c>
      <c r="R42" s="83"/>
      <c r="T42" s="87" t="s">
        <v>100</v>
      </c>
      <c r="U42" s="130" t="s">
        <v>543</v>
      </c>
      <c r="W42" s="94">
        <v>42695</v>
      </c>
      <c r="X42" s="10">
        <v>78.459999999999994</v>
      </c>
      <c r="Y42" s="40">
        <v>79.13</v>
      </c>
      <c r="Z42" s="40">
        <v>78.2</v>
      </c>
      <c r="AA42" s="10">
        <v>78.930000000000007</v>
      </c>
      <c r="AB42" s="95">
        <v>1504600</v>
      </c>
      <c r="AC42" s="243">
        <v>78.930000000000007</v>
      </c>
      <c r="AD42" s="2">
        <f t="shared" si="0"/>
        <v>0.92999999999999261</v>
      </c>
      <c r="AE42" s="138">
        <f t="shared" si="1"/>
        <v>9.2059838895284241E-3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92.216800000000006</v>
      </c>
      <c r="R43" s="83"/>
      <c r="T43" s="87" t="s">
        <v>101</v>
      </c>
      <c r="U43" s="130" t="s">
        <v>544</v>
      </c>
      <c r="W43" s="94">
        <v>42692</v>
      </c>
      <c r="X43" s="10">
        <v>77.819999999999993</v>
      </c>
      <c r="Y43" s="40">
        <v>78.94</v>
      </c>
      <c r="Z43" s="40">
        <v>76.92</v>
      </c>
      <c r="AA43" s="10">
        <v>78.209999999999994</v>
      </c>
      <c r="AB43" s="95">
        <v>2151200</v>
      </c>
      <c r="AC43" s="243">
        <v>78.209999999999994</v>
      </c>
      <c r="AD43" s="2">
        <f t="shared" si="0"/>
        <v>2.019999999999996</v>
      </c>
      <c r="AE43" s="138">
        <f t="shared" si="1"/>
        <v>3.3354714560613896E-3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91.330100000000002</v>
      </c>
      <c r="R44" s="83"/>
      <c r="T44" s="87" t="s">
        <v>102</v>
      </c>
      <c r="U44" s="130">
        <v>93</v>
      </c>
      <c r="W44" s="94">
        <v>42691</v>
      </c>
      <c r="X44" s="10">
        <v>76.150000000000006</v>
      </c>
      <c r="Y44" s="40">
        <v>77.97</v>
      </c>
      <c r="Z44" s="40">
        <v>75.69</v>
      </c>
      <c r="AA44" s="10">
        <v>77.95</v>
      </c>
      <c r="AB44" s="95">
        <v>1615300</v>
      </c>
      <c r="AC44" s="243">
        <v>77.95</v>
      </c>
      <c r="AD44" s="2">
        <f t="shared" si="0"/>
        <v>2.2800000000000011</v>
      </c>
      <c r="AE44" s="138">
        <f t="shared" si="1"/>
        <v>2.4040987913820366E-2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90.443399999999997</v>
      </c>
      <c r="R45" s="83"/>
      <c r="T45" s="87" t="s">
        <v>103</v>
      </c>
      <c r="U45" s="130">
        <v>0.73155199999999998</v>
      </c>
      <c r="W45" s="94">
        <v>42690</v>
      </c>
      <c r="X45" s="10">
        <v>75.36</v>
      </c>
      <c r="Y45" s="40">
        <v>76.48</v>
      </c>
      <c r="Z45" s="40">
        <v>75</v>
      </c>
      <c r="AA45" s="10">
        <v>76.12</v>
      </c>
      <c r="AB45" s="95">
        <v>1630800</v>
      </c>
      <c r="AC45" s="243">
        <v>76.12</v>
      </c>
      <c r="AD45" s="2">
        <f t="shared" si="0"/>
        <v>1.480000000000004</v>
      </c>
      <c r="AE45" s="138">
        <f t="shared" si="1"/>
        <v>2.50230475437907E-3</v>
      </c>
    </row>
    <row r="46" spans="1:31" x14ac:dyDescent="0.25">
      <c r="O46" s="2"/>
      <c r="P46" s="83">
        <v>1.01</v>
      </c>
      <c r="Q46" s="83">
        <f t="shared" si="48"/>
        <v>89.556700000000006</v>
      </c>
      <c r="R46" s="83"/>
      <c r="T46" s="87" t="s">
        <v>104</v>
      </c>
      <c r="U46" s="94" t="s">
        <v>129</v>
      </c>
      <c r="W46" s="94">
        <v>42689</v>
      </c>
      <c r="X46" s="10">
        <v>74.180000000000007</v>
      </c>
      <c r="Y46" s="40">
        <v>76.25</v>
      </c>
      <c r="Z46" s="40">
        <v>73.72</v>
      </c>
      <c r="AA46" s="10">
        <v>75.930000000000007</v>
      </c>
      <c r="AB46" s="95">
        <v>2101100</v>
      </c>
      <c r="AC46" s="243">
        <v>75.930000000000007</v>
      </c>
      <c r="AD46" s="2">
        <f t="shared" si="0"/>
        <v>2.5300000000000011</v>
      </c>
      <c r="AE46" s="138" t="e">
        <f t="shared" si="1"/>
        <v>#DIV/0!</v>
      </c>
    </row>
    <row r="47" spans="1:31" x14ac:dyDescent="0.25">
      <c r="O47" s="2"/>
      <c r="P47" s="83">
        <v>1</v>
      </c>
      <c r="Q47" s="83">
        <f t="shared" si="48"/>
        <v>88.67</v>
      </c>
      <c r="R47" s="83"/>
      <c r="T47" s="87"/>
      <c r="U47" s="130"/>
      <c r="W47" s="94">
        <v>42689</v>
      </c>
      <c r="X47" s="10" t="s">
        <v>367</v>
      </c>
      <c r="Y47" s="40"/>
      <c r="Z47" s="40"/>
      <c r="AA47" s="10"/>
      <c r="AB47" s="95"/>
      <c r="AC47" s="243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87.783299999999997</v>
      </c>
      <c r="R48" s="83"/>
      <c r="T48" s="87" t="s">
        <v>105</v>
      </c>
      <c r="U48" s="130" t="s">
        <v>545</v>
      </c>
      <c r="W48" s="94">
        <v>42688</v>
      </c>
      <c r="X48" s="10">
        <v>74.790000000000006</v>
      </c>
      <c r="Y48" s="40">
        <v>74.819999999999993</v>
      </c>
      <c r="Z48" s="40">
        <v>73.59</v>
      </c>
      <c r="AA48" s="10">
        <v>74.040000000000006</v>
      </c>
      <c r="AB48" s="95">
        <v>2614900</v>
      </c>
      <c r="AC48" s="243">
        <v>73.760000000000005</v>
      </c>
      <c r="AD48" s="2">
        <f t="shared" si="0"/>
        <v>1.2299999999999898</v>
      </c>
      <c r="AE48" s="138">
        <f t="shared" si="1"/>
        <v>-6.3316718307961928E-3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86.896600000000007</v>
      </c>
      <c r="R49" s="83"/>
      <c r="T49" s="87" t="s">
        <v>106</v>
      </c>
      <c r="U49" s="130" t="s">
        <v>546</v>
      </c>
      <c r="W49" s="94">
        <v>42685</v>
      </c>
      <c r="X49" s="10">
        <v>76</v>
      </c>
      <c r="Y49" s="40">
        <v>77.89</v>
      </c>
      <c r="Z49" s="40">
        <v>74.2</v>
      </c>
      <c r="AA49" s="10">
        <v>74.510000000000005</v>
      </c>
      <c r="AB49" s="95">
        <v>4015000</v>
      </c>
      <c r="AC49" s="243">
        <v>74.23</v>
      </c>
      <c r="AD49" s="2">
        <f t="shared" si="0"/>
        <v>3.6899999999999977</v>
      </c>
      <c r="AE49" s="138">
        <f t="shared" si="1"/>
        <v>-1.8381380587146223E-2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86.009900000000002</v>
      </c>
      <c r="R50" s="83"/>
      <c r="T50" s="87" t="s">
        <v>107</v>
      </c>
      <c r="U50" s="131">
        <v>15776664</v>
      </c>
      <c r="W50" s="94">
        <v>42684</v>
      </c>
      <c r="X50" s="10">
        <v>77.89</v>
      </c>
      <c r="Y50" s="40">
        <v>79.489999999999995</v>
      </c>
      <c r="Z50" s="40">
        <v>74.77</v>
      </c>
      <c r="AA50" s="10">
        <v>75.91</v>
      </c>
      <c r="AB50" s="95">
        <v>3267500</v>
      </c>
      <c r="AC50" s="243">
        <v>75.62</v>
      </c>
      <c r="AD50" s="2">
        <f t="shared" si="0"/>
        <v>4.7199999999999989</v>
      </c>
      <c r="AE50" s="138">
        <f t="shared" si="1"/>
        <v>-2.2618586015251352E-2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85.123199999999997</v>
      </c>
      <c r="R51" s="83"/>
      <c r="T51" s="87" t="s">
        <v>110</v>
      </c>
      <c r="U51" s="131">
        <v>2467200</v>
      </c>
      <c r="W51" s="94">
        <v>42683</v>
      </c>
      <c r="X51" s="10">
        <v>74.790000000000006</v>
      </c>
      <c r="Y51" s="40">
        <v>78.239999999999995</v>
      </c>
      <c r="Z51" s="40">
        <v>74.5</v>
      </c>
      <c r="AA51" s="10">
        <v>77.66</v>
      </c>
      <c r="AB51" s="95">
        <v>3458000</v>
      </c>
      <c r="AC51" s="243">
        <v>77.37</v>
      </c>
      <c r="AD51" s="2">
        <f t="shared" si="0"/>
        <v>3.7399999999999949</v>
      </c>
      <c r="AE51" s="138">
        <f t="shared" si="1"/>
        <v>4.2834890965732786E-3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84.236499999999992</v>
      </c>
      <c r="R52" s="83"/>
      <c r="T52" s="87" t="s">
        <v>108</v>
      </c>
      <c r="U52" s="130" t="s">
        <v>547</v>
      </c>
      <c r="W52" s="94">
        <v>42682</v>
      </c>
      <c r="X52" s="10">
        <v>76.86</v>
      </c>
      <c r="Y52" s="40">
        <v>78.02</v>
      </c>
      <c r="Z52" s="40">
        <v>76.010000000000005</v>
      </c>
      <c r="AA52" s="10">
        <v>77.33</v>
      </c>
      <c r="AB52" s="95">
        <v>2208800</v>
      </c>
      <c r="AC52" s="243">
        <v>77.040000000000006</v>
      </c>
      <c r="AD52" s="2">
        <f t="shared" si="0"/>
        <v>2.0099999999999909</v>
      </c>
      <c r="AE52" s="138">
        <f t="shared" si="1"/>
        <v>1.1695906432749315E-3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83.349800000000002</v>
      </c>
      <c r="R53" s="83"/>
      <c r="T53" s="87" t="s">
        <v>111</v>
      </c>
      <c r="U53" s="130">
        <v>17.12</v>
      </c>
      <c r="W53" s="94">
        <v>42681</v>
      </c>
      <c r="X53" s="10">
        <v>76.67</v>
      </c>
      <c r="Y53" s="40">
        <v>77.3</v>
      </c>
      <c r="Z53" s="40">
        <v>75.3</v>
      </c>
      <c r="AA53" s="10">
        <v>77.239999999999995</v>
      </c>
      <c r="AB53" s="95">
        <v>2703100</v>
      </c>
      <c r="AC53" s="243">
        <v>76.95</v>
      </c>
      <c r="AD53" s="2">
        <f t="shared" si="0"/>
        <v>2</v>
      </c>
      <c r="AE53" s="138">
        <f t="shared" si="1"/>
        <v>2.8880866425992746E-2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82.463100000000011</v>
      </c>
      <c r="R54" s="83"/>
      <c r="T54" s="87" t="s">
        <v>112</v>
      </c>
      <c r="U54" s="130">
        <v>5.18</v>
      </c>
      <c r="W54" s="94">
        <v>42678</v>
      </c>
      <c r="X54" s="10">
        <v>72.599999999999994</v>
      </c>
      <c r="Y54" s="40">
        <v>76.86</v>
      </c>
      <c r="Z54" s="40">
        <v>72.5</v>
      </c>
      <c r="AA54" s="10">
        <v>75.069999999999993</v>
      </c>
      <c r="AB54" s="95">
        <v>5718600</v>
      </c>
      <c r="AC54" s="243">
        <v>74.790000000000006</v>
      </c>
      <c r="AD54" s="2">
        <f t="shared" si="0"/>
        <v>4.3599999999999994</v>
      </c>
      <c r="AE54" s="138">
        <f t="shared" si="1"/>
        <v>5.377066810055231E-3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81.576400000000007</v>
      </c>
      <c r="R55" s="83"/>
      <c r="T55" s="87" t="s">
        <v>109</v>
      </c>
      <c r="U55" s="130" t="s">
        <v>641</v>
      </c>
      <c r="W55" s="94">
        <v>42677</v>
      </c>
      <c r="X55" s="10">
        <v>74.650000000000006</v>
      </c>
      <c r="Y55" s="40">
        <v>76.819999999999993</v>
      </c>
      <c r="Z55" s="40">
        <v>74.39</v>
      </c>
      <c r="AA55" s="10">
        <v>74.67</v>
      </c>
      <c r="AB55" s="95">
        <v>3566700</v>
      </c>
      <c r="AC55" s="243">
        <v>74.39</v>
      </c>
      <c r="AD55" s="2">
        <f t="shared" si="0"/>
        <v>2.4299999999999926</v>
      </c>
      <c r="AE55" s="138">
        <f t="shared" si="1"/>
        <v>-4.8160535117056646E-3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80.689700000000002</v>
      </c>
      <c r="R56" s="83"/>
      <c r="W56" s="94">
        <v>42676</v>
      </c>
      <c r="X56" s="10">
        <v>75.650000000000006</v>
      </c>
      <c r="Y56" s="40">
        <v>76.37</v>
      </c>
      <c r="Z56" s="40">
        <v>74.819999999999993</v>
      </c>
      <c r="AA56" s="10">
        <v>75.03</v>
      </c>
      <c r="AB56" s="95">
        <v>1681800</v>
      </c>
      <c r="AC56" s="243">
        <v>74.75</v>
      </c>
      <c r="AD56" s="2">
        <f t="shared" si="0"/>
        <v>1.5500000000000114</v>
      </c>
      <c r="AE56" s="138">
        <f t="shared" si="1"/>
        <v>-1.0195974576271083E-2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79.802999999999997</v>
      </c>
      <c r="R57" s="83"/>
      <c r="W57" s="94">
        <v>42675</v>
      </c>
      <c r="X57" s="10">
        <v>76.92</v>
      </c>
      <c r="Y57" s="40">
        <v>77.760000000000005</v>
      </c>
      <c r="Z57" s="40">
        <v>74.760000000000005</v>
      </c>
      <c r="AA57" s="10">
        <v>75.81</v>
      </c>
      <c r="AB57" s="95">
        <v>1782700</v>
      </c>
      <c r="AC57" s="243">
        <v>75.52</v>
      </c>
      <c r="AD57" s="2">
        <f t="shared" si="0"/>
        <v>3</v>
      </c>
      <c r="AE57" s="138">
        <f t="shared" si="1"/>
        <v>-1.4742335290280573E-2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42674</v>
      </c>
      <c r="X58" s="10">
        <v>75.95</v>
      </c>
      <c r="Y58" s="40">
        <v>77.260000000000005</v>
      </c>
      <c r="Z58" s="40">
        <v>75.02</v>
      </c>
      <c r="AA58" s="10">
        <v>76.94</v>
      </c>
      <c r="AB58" s="95">
        <v>1886400</v>
      </c>
      <c r="AC58" s="243">
        <v>76.650000000000006</v>
      </c>
      <c r="AD58" s="2">
        <f t="shared" si="0"/>
        <v>2.2400000000000091</v>
      </c>
      <c r="AE58" s="138">
        <f t="shared" si="1"/>
        <v>1.6173936099695085E-2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42671</v>
      </c>
      <c r="X59" s="10">
        <v>77.91</v>
      </c>
      <c r="Y59" s="40">
        <v>77.989999999999995</v>
      </c>
      <c r="Z59" s="40">
        <v>75.62</v>
      </c>
      <c r="AA59" s="10">
        <v>75.72</v>
      </c>
      <c r="AB59" s="95">
        <v>2715600</v>
      </c>
      <c r="AC59" s="243">
        <v>75.430000000000007</v>
      </c>
      <c r="AD59" s="2">
        <f t="shared" si="0"/>
        <v>2.3699999999999903</v>
      </c>
      <c r="AE59" s="138">
        <f t="shared" si="1"/>
        <v>-2.0007795244900484E-2</v>
      </c>
    </row>
    <row r="60" spans="1:31" x14ac:dyDescent="0.25">
      <c r="W60" s="94">
        <v>42670</v>
      </c>
      <c r="X60" s="10">
        <v>78.180000000000007</v>
      </c>
      <c r="Y60" s="40">
        <v>78.58</v>
      </c>
      <c r="Z60" s="40">
        <v>77.05</v>
      </c>
      <c r="AA60" s="10">
        <v>77.260000000000005</v>
      </c>
      <c r="AB60" s="95">
        <v>1460700</v>
      </c>
      <c r="AC60" s="243">
        <v>76.97</v>
      </c>
      <c r="AD60" s="2">
        <f t="shared" si="0"/>
        <v>1.5300000000000011</v>
      </c>
      <c r="AE60" s="138">
        <f t="shared" si="1"/>
        <v>-3.6245954692556426E-3</v>
      </c>
    </row>
    <row r="61" spans="1:31" x14ac:dyDescent="0.25">
      <c r="L61" t="s">
        <v>65</v>
      </c>
      <c r="M61" s="455">
        <f>K79+M79-F79</f>
        <v>954.30999999999767</v>
      </c>
      <c r="W61" s="94">
        <v>42669</v>
      </c>
      <c r="X61" s="10">
        <v>77.44</v>
      </c>
      <c r="Y61" s="40">
        <v>78.69</v>
      </c>
      <c r="Z61" s="40">
        <v>77.19</v>
      </c>
      <c r="AA61" s="10">
        <v>77.540000000000006</v>
      </c>
      <c r="AB61" s="95">
        <v>2190400</v>
      </c>
      <c r="AC61" s="243">
        <v>77.25</v>
      </c>
      <c r="AD61" s="2">
        <f t="shared" si="0"/>
        <v>1.5</v>
      </c>
      <c r="AE61" s="138">
        <f t="shared" si="1"/>
        <v>-6.8140910259707477E-3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42668</v>
      </c>
      <c r="X62" s="10">
        <v>78.180000000000007</v>
      </c>
      <c r="Y62" s="40">
        <v>79.14</v>
      </c>
      <c r="Z62" s="40">
        <v>77.91</v>
      </c>
      <c r="AA62" s="10">
        <v>78.08</v>
      </c>
      <c r="AB62" s="95">
        <v>1669600</v>
      </c>
      <c r="AC62" s="243">
        <v>77.78</v>
      </c>
      <c r="AD62" s="2">
        <f t="shared" si="0"/>
        <v>1.230000000000004</v>
      </c>
      <c r="AE62" s="138">
        <f t="shared" si="1"/>
        <v>-5.2436372937715303E-3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42667</v>
      </c>
      <c r="X63" s="10">
        <v>78.010000000000005</v>
      </c>
      <c r="Y63" s="40">
        <v>79.19</v>
      </c>
      <c r="Z63" s="40">
        <v>78.010000000000005</v>
      </c>
      <c r="AA63" s="10">
        <v>78.489999999999995</v>
      </c>
      <c r="AB63" s="95">
        <v>1728000</v>
      </c>
      <c r="AC63" s="243">
        <v>78.19</v>
      </c>
      <c r="AD63" s="2">
        <f t="shared" si="0"/>
        <v>1.1799999999999926</v>
      </c>
      <c r="AE63" s="138">
        <f t="shared" si="1"/>
        <v>1.3086291785436632E-2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42664</v>
      </c>
      <c r="X64" s="10">
        <v>77.75</v>
      </c>
      <c r="Y64" s="40">
        <v>78.09</v>
      </c>
      <c r="Z64" s="40">
        <v>76.87</v>
      </c>
      <c r="AA64" s="10">
        <v>77.47</v>
      </c>
      <c r="AB64" s="95">
        <v>1900500</v>
      </c>
      <c r="AC64" s="243">
        <v>77.180000000000007</v>
      </c>
      <c r="AD64" s="2">
        <f t="shared" si="0"/>
        <v>1.2199999999999989</v>
      </c>
      <c r="AE64" s="138">
        <f t="shared" si="1"/>
        <v>-7.8416248875177175E-3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42663</v>
      </c>
      <c r="X65" s="10">
        <v>77.72</v>
      </c>
      <c r="Y65" s="40">
        <v>78.5</v>
      </c>
      <c r="Z65" s="40">
        <v>77.05</v>
      </c>
      <c r="AA65" s="10">
        <v>78.09</v>
      </c>
      <c r="AB65" s="95">
        <v>1264700</v>
      </c>
      <c r="AC65" s="243">
        <v>77.790000000000006</v>
      </c>
      <c r="AD65" s="2">
        <f t="shared" si="0"/>
        <v>1.4500000000000028</v>
      </c>
      <c r="AE65" s="138">
        <f t="shared" si="1"/>
        <v>2.1901571759856964E-3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42662</v>
      </c>
      <c r="X66" s="10">
        <v>77.19</v>
      </c>
      <c r="Y66" s="40">
        <v>78.03</v>
      </c>
      <c r="Z66" s="40">
        <v>76.77</v>
      </c>
      <c r="AA66" s="10">
        <v>77.91</v>
      </c>
      <c r="AB66" s="95">
        <v>1071900</v>
      </c>
      <c r="AC66" s="243">
        <v>77.62</v>
      </c>
      <c r="AD66" s="2">
        <f t="shared" si="0"/>
        <v>1.2600000000000051</v>
      </c>
      <c r="AE66" s="138">
        <f t="shared" si="1"/>
        <v>3.3609100310239004E-3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42661</v>
      </c>
      <c r="X67" s="10">
        <v>78.099999999999994</v>
      </c>
      <c r="Y67" s="40">
        <v>78.37</v>
      </c>
      <c r="Z67" s="40">
        <v>77.53</v>
      </c>
      <c r="AA67" s="10">
        <v>77.650000000000006</v>
      </c>
      <c r="AB67" s="95">
        <v>1112200</v>
      </c>
      <c r="AC67" s="243">
        <v>77.36</v>
      </c>
      <c r="AD67" s="2">
        <f t="shared" si="0"/>
        <v>0.84000000000000341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42660</v>
      </c>
      <c r="X68" s="10">
        <v>77.63</v>
      </c>
      <c r="Y68" s="40">
        <v>78.14</v>
      </c>
      <c r="Z68" s="40">
        <v>76.48</v>
      </c>
      <c r="AA68" s="10">
        <v>76.7</v>
      </c>
      <c r="AB68" s="95">
        <v>1726900</v>
      </c>
      <c r="AC68" s="243">
        <v>76.41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57" priority="27">
      <formula>F40&gt;0</formula>
    </cfRule>
    <cfRule type="expression" dxfId="456" priority="28">
      <formula>F40&lt;0</formula>
    </cfRule>
  </conditionalFormatting>
  <conditionalFormatting sqref="F40:F45">
    <cfRule type="expression" dxfId="455" priority="29">
      <formula>F40&gt;0</formula>
    </cfRule>
    <cfRule type="expression" dxfId="454" priority="30">
      <formula>F40&lt;0</formula>
    </cfRule>
  </conditionalFormatting>
  <conditionalFormatting sqref="H40:H45">
    <cfRule type="expression" dxfId="453" priority="25">
      <formula>H40&gt;0</formula>
    </cfRule>
    <cfRule type="expression" dxfId="452" priority="26">
      <formula>H40&lt;0</formula>
    </cfRule>
  </conditionalFormatting>
  <conditionalFormatting sqref="F23:F39">
    <cfRule type="expression" dxfId="451" priority="11">
      <formula>F23&gt;0</formula>
    </cfRule>
    <cfRule type="expression" dxfId="450" priority="12">
      <formula>F23&lt;0</formula>
    </cfRule>
  </conditionalFormatting>
  <conditionalFormatting sqref="H23:H39">
    <cfRule type="expression" dxfId="449" priority="9">
      <formula>H23&gt;0</formula>
    </cfRule>
    <cfRule type="expression" dxfId="448" priority="10">
      <formula>H23&lt;0</formula>
    </cfRule>
  </conditionalFormatting>
  <conditionalFormatting sqref="Q7">
    <cfRule type="expression" dxfId="447" priority="7">
      <formula>Q7&gt;0</formula>
    </cfRule>
    <cfRule type="expression" dxfId="446" priority="8">
      <formula>Q7&lt;0</formula>
    </cfRule>
  </conditionalFormatting>
  <conditionalFormatting sqref="Q8">
    <cfRule type="expression" dxfId="445" priority="5">
      <formula>Q8&gt;0</formula>
    </cfRule>
    <cfRule type="expression" dxfId="44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42755</v>
      </c>
      <c r="X2" s="41">
        <v>69</v>
      </c>
      <c r="Y2" s="41">
        <v>70.19</v>
      </c>
      <c r="Z2" s="41">
        <v>68.89</v>
      </c>
      <c r="AA2" s="41">
        <v>70.12</v>
      </c>
      <c r="AB2" s="104">
        <v>1316800</v>
      </c>
      <c r="AC2" s="9">
        <v>70.12</v>
      </c>
      <c r="AD2" s="2">
        <f>Y2-Z2</f>
        <v>1.2999999999999972</v>
      </c>
      <c r="AE2" s="138">
        <f>AC2/AC3-1</f>
        <v>1.8889857599535098E-2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70.12</v>
      </c>
      <c r="W3" s="123">
        <v>42754</v>
      </c>
      <c r="X3" s="41">
        <v>70.41</v>
      </c>
      <c r="Y3" s="41">
        <v>70.41</v>
      </c>
      <c r="Z3" s="41">
        <v>68.680000000000007</v>
      </c>
      <c r="AA3" s="41">
        <v>68.819999999999993</v>
      </c>
      <c r="AB3" s="104">
        <v>2520300</v>
      </c>
      <c r="AC3" s="9">
        <v>68.819999999999993</v>
      </c>
      <c r="AD3" s="2">
        <f t="shared" ref="AD3:AD66" si="0">Y3-Z3</f>
        <v>1.7299999999999898</v>
      </c>
      <c r="AE3" s="138">
        <f t="shared" ref="AE3:AE66" si="1">AC3/AC4-1</f>
        <v>-1.3333333333333419E-2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70.12</v>
      </c>
      <c r="R4" s="505">
        <v>1.89E-2</v>
      </c>
      <c r="T4" s="1"/>
      <c r="W4" s="123">
        <v>42753</v>
      </c>
      <c r="X4" s="41">
        <v>69.84</v>
      </c>
      <c r="Y4" s="41">
        <v>70.319999999999993</v>
      </c>
      <c r="Z4" s="41">
        <v>69.430000000000007</v>
      </c>
      <c r="AA4" s="41">
        <v>69.75</v>
      </c>
      <c r="AB4" s="104">
        <v>1339500</v>
      </c>
      <c r="AC4" s="9">
        <v>69.75</v>
      </c>
      <c r="AD4" s="2">
        <f t="shared" si="0"/>
        <v>0.88999999999998636</v>
      </c>
      <c r="AE4" s="138">
        <f t="shared" si="1"/>
        <v>-7.8236130867709308E-3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42752</v>
      </c>
      <c r="X5" s="41">
        <v>70.989999999999995</v>
      </c>
      <c r="Y5" s="41">
        <v>71.569999999999993</v>
      </c>
      <c r="Z5" s="41">
        <v>70.14</v>
      </c>
      <c r="AA5" s="41">
        <v>70.3</v>
      </c>
      <c r="AB5" s="104">
        <v>1201000</v>
      </c>
      <c r="AC5" s="9">
        <v>70.3</v>
      </c>
      <c r="AD5" s="2">
        <f t="shared" si="0"/>
        <v>1.4299999999999926</v>
      </c>
      <c r="AE5" s="138">
        <f t="shared" si="1"/>
        <v>-9.8591549295774517E-3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42748</v>
      </c>
      <c r="X6" s="41">
        <v>70.64</v>
      </c>
      <c r="Y6" s="41">
        <v>71.5</v>
      </c>
      <c r="Z6" s="41">
        <v>70.44</v>
      </c>
      <c r="AA6" s="41">
        <v>71</v>
      </c>
      <c r="AB6" s="104">
        <v>629600</v>
      </c>
      <c r="AC6" s="9">
        <v>71</v>
      </c>
      <c r="AD6" s="2">
        <f t="shared" si="0"/>
        <v>1.0600000000000023</v>
      </c>
      <c r="AE6" s="138">
        <f t="shared" si="1"/>
        <v>6.0932407538614175E-3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42747</v>
      </c>
      <c r="X7" s="41">
        <v>71.03</v>
      </c>
      <c r="Y7" s="41">
        <v>71.150000000000006</v>
      </c>
      <c r="Z7" s="41">
        <v>70.09</v>
      </c>
      <c r="AA7" s="41">
        <v>70.569999999999993</v>
      </c>
      <c r="AB7" s="104">
        <v>1208200</v>
      </c>
      <c r="AC7" s="9">
        <v>70.569999999999993</v>
      </c>
      <c r="AD7" s="2">
        <f t="shared" si="0"/>
        <v>1.0600000000000023</v>
      </c>
      <c r="AE7" s="138">
        <f t="shared" si="1"/>
        <v>9.9290780141836343E-4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42746</v>
      </c>
      <c r="X8" s="41">
        <v>69.400000000000006</v>
      </c>
      <c r="Y8" s="41">
        <v>70.67</v>
      </c>
      <c r="Z8" s="41">
        <v>69.209999999999994</v>
      </c>
      <c r="AA8" s="41">
        <v>70.5</v>
      </c>
      <c r="AB8" s="104">
        <v>891100</v>
      </c>
      <c r="AC8" s="9">
        <v>70.5</v>
      </c>
      <c r="AD8" s="2">
        <f t="shared" si="0"/>
        <v>1.460000000000008</v>
      </c>
      <c r="AE8" s="138">
        <f t="shared" si="1"/>
        <v>1.7462837350266991E-2</v>
      </c>
      <c r="AL8" s="234"/>
      <c r="AO8" s="234"/>
    </row>
    <row r="9" spans="1:42" x14ac:dyDescent="0.25">
      <c r="O9" s="11" t="s">
        <v>215</v>
      </c>
      <c r="Q9" s="138">
        <f>IF(Q2=0, 0, Q8/Q6)</f>
        <v>0</v>
      </c>
      <c r="W9" s="123">
        <v>42745</v>
      </c>
      <c r="X9" s="41">
        <v>68.94</v>
      </c>
      <c r="Y9" s="41">
        <v>69.73</v>
      </c>
      <c r="Z9" s="41">
        <v>68.89</v>
      </c>
      <c r="AA9" s="41">
        <v>69.290000000000006</v>
      </c>
      <c r="AB9" s="104">
        <v>757700</v>
      </c>
      <c r="AC9" s="9">
        <v>69.290000000000006</v>
      </c>
      <c r="AD9" s="2">
        <f t="shared" si="0"/>
        <v>0.84000000000000341</v>
      </c>
      <c r="AE9" s="138">
        <f t="shared" si="1"/>
        <v>7.5614366729679361E-3</v>
      </c>
      <c r="AL9" s="234"/>
      <c r="AO9" s="234"/>
    </row>
    <row r="10" spans="1:42" x14ac:dyDescent="0.25">
      <c r="O10" s="11" t="s">
        <v>214</v>
      </c>
      <c r="P10" s="34"/>
      <c r="Q10" s="2">
        <f>M36</f>
        <v>121.94999999999982</v>
      </c>
      <c r="W10" s="123">
        <v>42744</v>
      </c>
      <c r="X10" s="41">
        <v>68.95</v>
      </c>
      <c r="Y10" s="41">
        <v>69.08</v>
      </c>
      <c r="Z10" s="41">
        <v>68.41</v>
      </c>
      <c r="AA10" s="41">
        <v>68.77</v>
      </c>
      <c r="AB10" s="104">
        <v>947500</v>
      </c>
      <c r="AC10" s="9">
        <v>68.77</v>
      </c>
      <c r="AD10" s="2">
        <f t="shared" si="0"/>
        <v>0.67000000000000171</v>
      </c>
      <c r="AE10" s="138">
        <f t="shared" si="1"/>
        <v>-5.0636574074075513E-3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42741</v>
      </c>
      <c r="X11" s="41">
        <v>69.400000000000006</v>
      </c>
      <c r="Y11" s="41">
        <v>69.94</v>
      </c>
      <c r="Z11" s="41">
        <v>69.06</v>
      </c>
      <c r="AA11" s="41">
        <v>69.12</v>
      </c>
      <c r="AB11" s="104">
        <v>960800</v>
      </c>
      <c r="AC11" s="9">
        <v>69.12</v>
      </c>
      <c r="AD11" s="2">
        <f t="shared" si="0"/>
        <v>0.87999999999999545</v>
      </c>
      <c r="AE11" s="138">
        <f t="shared" si="1"/>
        <v>-4.7516198704103951E-3</v>
      </c>
      <c r="AL11" s="234"/>
      <c r="AO11" s="234"/>
    </row>
    <row r="12" spans="1:42" x14ac:dyDescent="0.25">
      <c r="W12" s="123">
        <v>42740</v>
      </c>
      <c r="X12" s="41">
        <v>68.959999999999994</v>
      </c>
      <c r="Y12" s="41">
        <v>69.989999999999995</v>
      </c>
      <c r="Z12" s="41">
        <v>68.53</v>
      </c>
      <c r="AA12" s="41">
        <v>69.45</v>
      </c>
      <c r="AB12" s="104">
        <v>924200</v>
      </c>
      <c r="AC12" s="9">
        <v>69.45</v>
      </c>
      <c r="AD12" s="2">
        <f t="shared" si="0"/>
        <v>1.4599999999999937</v>
      </c>
      <c r="AE12" s="138">
        <f t="shared" si="1"/>
        <v>7.6900754497968293E-3</v>
      </c>
      <c r="AL12" s="234"/>
      <c r="AO12" s="234"/>
    </row>
    <row r="13" spans="1:42" x14ac:dyDescent="0.25">
      <c r="W13" s="123">
        <v>42739</v>
      </c>
      <c r="X13" s="41">
        <v>68.47</v>
      </c>
      <c r="Y13" s="41">
        <v>69.06</v>
      </c>
      <c r="Z13" s="41">
        <v>68.13</v>
      </c>
      <c r="AA13" s="41">
        <v>68.92</v>
      </c>
      <c r="AB13" s="104">
        <v>1193700</v>
      </c>
      <c r="AC13" s="9">
        <v>68.92</v>
      </c>
      <c r="AD13" s="2">
        <f t="shared" si="0"/>
        <v>0.93000000000000682</v>
      </c>
      <c r="AE13" s="138">
        <f t="shared" si="1"/>
        <v>2.3311061618411344E-2</v>
      </c>
    </row>
    <row r="14" spans="1:42" x14ac:dyDescent="0.25">
      <c r="W14" s="123">
        <v>42738</v>
      </c>
      <c r="X14" s="41">
        <v>67.709999999999994</v>
      </c>
      <c r="Y14" s="41">
        <v>68.430000000000007</v>
      </c>
      <c r="Z14" s="41">
        <v>67.08</v>
      </c>
      <c r="AA14" s="41">
        <v>67.349999999999994</v>
      </c>
      <c r="AB14" s="104">
        <v>764400</v>
      </c>
      <c r="AC14" s="9">
        <v>67.349999999999994</v>
      </c>
      <c r="AD14" s="2">
        <f t="shared" si="0"/>
        <v>1.3500000000000085</v>
      </c>
      <c r="AE14" s="138">
        <f t="shared" si="1"/>
        <v>-7.4183976261144036E-4</v>
      </c>
    </row>
    <row r="15" spans="1:42" x14ac:dyDescent="0.25">
      <c r="V15" s="2"/>
      <c r="W15" s="123">
        <v>42734</v>
      </c>
      <c r="X15" s="41">
        <v>68.150000000000006</v>
      </c>
      <c r="Y15" s="41">
        <v>68.37</v>
      </c>
      <c r="Z15" s="41">
        <v>67.180000000000007</v>
      </c>
      <c r="AA15" s="41">
        <v>67.400000000000006</v>
      </c>
      <c r="AB15" s="104">
        <v>526400</v>
      </c>
      <c r="AC15" s="9">
        <v>67.400000000000006</v>
      </c>
      <c r="AD15" s="2">
        <f t="shared" si="0"/>
        <v>1.1899999999999977</v>
      </c>
      <c r="AE15" s="138">
        <f t="shared" si="1"/>
        <v>-8.6777467274598008E-3</v>
      </c>
      <c r="AL15" s="234"/>
      <c r="AO15" s="234"/>
      <c r="AP15" s="234"/>
    </row>
    <row r="16" spans="1:42" x14ac:dyDescent="0.25">
      <c r="V16" s="2"/>
      <c r="W16" s="123">
        <v>42733</v>
      </c>
      <c r="X16" s="41">
        <v>68.02</v>
      </c>
      <c r="Y16" s="41">
        <v>68.17</v>
      </c>
      <c r="Z16" s="41">
        <v>67.739999999999995</v>
      </c>
      <c r="AA16" s="41">
        <v>67.989999999999995</v>
      </c>
      <c r="AB16" s="104">
        <v>496100</v>
      </c>
      <c r="AC16" s="9">
        <v>67.989999999999995</v>
      </c>
      <c r="AD16" s="2">
        <f t="shared" si="0"/>
        <v>0.43000000000000682</v>
      </c>
      <c r="AE16" s="138">
        <f t="shared" si="1"/>
        <v>5.0258684405024567E-3</v>
      </c>
    </row>
    <row r="17" spans="1:42" x14ac:dyDescent="0.25">
      <c r="V17" s="2"/>
      <c r="W17" s="123">
        <v>42732</v>
      </c>
      <c r="X17" s="41">
        <v>67.47</v>
      </c>
      <c r="Y17" s="41">
        <v>68.459999999999994</v>
      </c>
      <c r="Z17" s="41">
        <v>67.33</v>
      </c>
      <c r="AA17" s="41">
        <v>67.650000000000006</v>
      </c>
      <c r="AB17" s="104">
        <v>734600</v>
      </c>
      <c r="AC17" s="9">
        <v>67.650000000000006</v>
      </c>
      <c r="AD17" s="2">
        <f t="shared" si="0"/>
        <v>1.1299999999999955</v>
      </c>
      <c r="AE17" s="138">
        <f t="shared" si="1"/>
        <v>-1.6233766233766378E-3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42731</v>
      </c>
      <c r="X18" s="41">
        <v>67.790000000000006</v>
      </c>
      <c r="Y18" s="41">
        <v>67.930000000000007</v>
      </c>
      <c r="Z18" s="41">
        <v>67.599999999999994</v>
      </c>
      <c r="AA18" s="41">
        <v>67.760000000000005</v>
      </c>
      <c r="AB18" s="104">
        <v>260600</v>
      </c>
      <c r="AC18" s="9">
        <v>67.760000000000005</v>
      </c>
      <c r="AD18" s="2">
        <f t="shared" si="0"/>
        <v>0.33000000000001251</v>
      </c>
      <c r="AE18" s="138">
        <f t="shared" si="1"/>
        <v>2.2186067149829736E-3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42727</v>
      </c>
      <c r="X19" s="41">
        <v>67.739999999999995</v>
      </c>
      <c r="Y19" s="41">
        <v>67.86</v>
      </c>
      <c r="Z19" s="41">
        <v>67.400000000000006</v>
      </c>
      <c r="AA19" s="41">
        <v>67.61</v>
      </c>
      <c r="AB19" s="104">
        <v>412200</v>
      </c>
      <c r="AC19" s="9">
        <v>67.61</v>
      </c>
      <c r="AD19" s="2">
        <f t="shared" si="0"/>
        <v>0.45999999999999375</v>
      </c>
      <c r="AE19" s="138">
        <f t="shared" si="1"/>
        <v>-2.5081144880495509E-3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42726</v>
      </c>
      <c r="X20" s="41">
        <v>67.78</v>
      </c>
      <c r="Y20" s="41">
        <v>68.010000000000005</v>
      </c>
      <c r="Z20" s="41">
        <v>67.459999999999994</v>
      </c>
      <c r="AA20" s="41">
        <v>67.78</v>
      </c>
      <c r="AB20" s="104">
        <v>460300</v>
      </c>
      <c r="AC20" s="9">
        <v>67.78</v>
      </c>
      <c r="AD20" s="2">
        <f t="shared" si="0"/>
        <v>0.55000000000001137</v>
      </c>
      <c r="AE20" s="138">
        <f t="shared" si="1"/>
        <v>-3.2352941176470029E-3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42725</v>
      </c>
      <c r="X21" s="41">
        <v>67.94</v>
      </c>
      <c r="Y21" s="41">
        <v>68.44</v>
      </c>
      <c r="Z21" s="41">
        <v>67.69</v>
      </c>
      <c r="AA21" s="41">
        <v>68</v>
      </c>
      <c r="AB21" s="104">
        <v>614300</v>
      </c>
      <c r="AC21" s="9">
        <v>68</v>
      </c>
      <c r="AD21" s="2">
        <f t="shared" si="0"/>
        <v>0.75</v>
      </c>
      <c r="AE21" s="138">
        <f t="shared" si="1"/>
        <v>1.4727540500736325E-3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42724</v>
      </c>
      <c r="X22" s="41">
        <v>67.319999999999993</v>
      </c>
      <c r="Y22" s="41">
        <v>68.319999999999993</v>
      </c>
      <c r="Z22" s="41">
        <v>67.3</v>
      </c>
      <c r="AA22" s="41">
        <v>67.900000000000006</v>
      </c>
      <c r="AB22" s="104">
        <v>1344400</v>
      </c>
      <c r="AC22" s="9">
        <v>67.900000000000006</v>
      </c>
      <c r="AD22" s="2">
        <f t="shared" si="0"/>
        <v>1.019999999999996</v>
      </c>
      <c r="AE22" s="138">
        <f t="shared" si="1"/>
        <v>1.1922503725782629E-2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42723</v>
      </c>
      <c r="X23" s="41">
        <v>66.92</v>
      </c>
      <c r="Y23" s="41">
        <v>67.290000000000006</v>
      </c>
      <c r="Z23" s="41">
        <v>66.78</v>
      </c>
      <c r="AA23" s="41">
        <v>67.099999999999994</v>
      </c>
      <c r="AB23" s="104">
        <v>481800</v>
      </c>
      <c r="AC23" s="9">
        <v>67.099999999999994</v>
      </c>
      <c r="AD23" s="2">
        <f t="shared" si="0"/>
        <v>0.51000000000000512</v>
      </c>
      <c r="AE23" s="138">
        <f t="shared" si="1"/>
        <v>2.9815146094214207E-4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42720</v>
      </c>
      <c r="X24" s="41">
        <v>67.13</v>
      </c>
      <c r="Y24" s="41">
        <v>67.569999999999993</v>
      </c>
      <c r="Z24" s="41">
        <v>66.77</v>
      </c>
      <c r="AA24" s="41">
        <v>67.08</v>
      </c>
      <c r="AB24" s="104">
        <v>744600</v>
      </c>
      <c r="AC24" s="9">
        <v>67.08</v>
      </c>
      <c r="AD24" s="2">
        <f t="shared" si="0"/>
        <v>0.79999999999999716</v>
      </c>
      <c r="AE24" s="138">
        <f t="shared" si="1"/>
        <v>-5.9594755661507293E-4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42719</v>
      </c>
      <c r="X25" s="41">
        <v>66.64</v>
      </c>
      <c r="Y25" s="41">
        <v>67.709999999999994</v>
      </c>
      <c r="Z25" s="41">
        <v>66.58</v>
      </c>
      <c r="AA25" s="41">
        <v>67.12</v>
      </c>
      <c r="AB25" s="104">
        <v>978200</v>
      </c>
      <c r="AC25" s="9">
        <v>67.12</v>
      </c>
      <c r="AD25" s="2">
        <f t="shared" si="0"/>
        <v>1.1299999999999955</v>
      </c>
      <c r="AE25" s="138">
        <f t="shared" si="1"/>
        <v>2.5392083644510954E-3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42718</v>
      </c>
      <c r="X26" s="41">
        <v>68.44</v>
      </c>
      <c r="Y26" s="41">
        <v>68.75</v>
      </c>
      <c r="Z26" s="41">
        <v>66.849999999999994</v>
      </c>
      <c r="AA26" s="41">
        <v>66.95</v>
      </c>
      <c r="AB26" s="104">
        <v>988900</v>
      </c>
      <c r="AC26" s="9">
        <v>66.95</v>
      </c>
      <c r="AD26" s="2">
        <f t="shared" si="0"/>
        <v>1.9000000000000057</v>
      </c>
      <c r="AE26" s="138">
        <f t="shared" si="1"/>
        <v>-2.1627940961566616E-2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42717</v>
      </c>
      <c r="X27" s="41">
        <v>68.42</v>
      </c>
      <c r="Y27" s="41">
        <v>69.319999999999993</v>
      </c>
      <c r="Z27" s="41">
        <v>68.260000000000005</v>
      </c>
      <c r="AA27" s="41">
        <v>68.430000000000007</v>
      </c>
      <c r="AB27" s="104">
        <v>1328200</v>
      </c>
      <c r="AC27" s="9">
        <v>68.430000000000007</v>
      </c>
      <c r="AD27" s="2">
        <f t="shared" si="0"/>
        <v>1.0599999999999881</v>
      </c>
      <c r="AE27" s="138">
        <f t="shared" si="1"/>
        <v>3.961267605633978E-3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42716</v>
      </c>
      <c r="X28" s="41">
        <v>67.400000000000006</v>
      </c>
      <c r="Y28" s="41">
        <v>68.510000000000005</v>
      </c>
      <c r="Z28" s="41">
        <v>66.89</v>
      </c>
      <c r="AA28" s="41">
        <v>68.16</v>
      </c>
      <c r="AB28" s="104">
        <v>4194800</v>
      </c>
      <c r="AC28" s="9">
        <v>68.16</v>
      </c>
      <c r="AD28" s="2">
        <f t="shared" si="0"/>
        <v>1.6200000000000045</v>
      </c>
      <c r="AE28" s="138">
        <f t="shared" si="1"/>
        <v>-1.9562715765247374E-2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42713</v>
      </c>
      <c r="X29" s="41">
        <v>69.58</v>
      </c>
      <c r="Y29" s="41">
        <v>70</v>
      </c>
      <c r="Z29" s="41">
        <v>69.25</v>
      </c>
      <c r="AA29" s="41">
        <v>69.52</v>
      </c>
      <c r="AB29" s="104">
        <v>1701000</v>
      </c>
      <c r="AC29" s="9">
        <v>69.52</v>
      </c>
      <c r="AD29" s="2">
        <f t="shared" si="0"/>
        <v>0.75</v>
      </c>
      <c r="AE29" s="138">
        <f t="shared" si="1"/>
        <v>-4.7244094488189115E-3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42712</v>
      </c>
      <c r="X30" s="41">
        <v>69.19</v>
      </c>
      <c r="Y30" s="41">
        <v>69.92</v>
      </c>
      <c r="Z30" s="41">
        <v>68.56</v>
      </c>
      <c r="AA30" s="41">
        <v>69.849999999999994</v>
      </c>
      <c r="AB30" s="104">
        <v>984400</v>
      </c>
      <c r="AC30" s="9">
        <v>69.849999999999994</v>
      </c>
      <c r="AD30" s="2">
        <f t="shared" si="0"/>
        <v>1.3599999999999994</v>
      </c>
      <c r="AE30" s="138">
        <f t="shared" si="1"/>
        <v>9.9768652400231694E-3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42711</v>
      </c>
      <c r="X31" s="41">
        <v>67.459999999999994</v>
      </c>
      <c r="Y31" s="41">
        <v>69.22</v>
      </c>
      <c r="Z31" s="41">
        <v>67.33</v>
      </c>
      <c r="AA31" s="41">
        <v>69.16</v>
      </c>
      <c r="AB31" s="104">
        <v>1006100</v>
      </c>
      <c r="AC31" s="9">
        <v>69.16</v>
      </c>
      <c r="AD31" s="2">
        <f t="shared" si="0"/>
        <v>1.8900000000000006</v>
      </c>
      <c r="AE31" s="138" t="e">
        <f t="shared" si="1"/>
        <v>#DIV/0!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42711</v>
      </c>
      <c r="X32" s="41" t="s">
        <v>362</v>
      </c>
      <c r="Y32" s="41"/>
      <c r="Z32" s="41"/>
      <c r="AA32" s="41"/>
      <c r="AB32" s="104"/>
      <c r="AC32" s="9"/>
      <c r="AD32" s="2">
        <f t="shared" si="0"/>
        <v>0</v>
      </c>
      <c r="AE32" s="138">
        <f t="shared" si="1"/>
        <v>-1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42710</v>
      </c>
      <c r="X33" s="41">
        <v>67.5</v>
      </c>
      <c r="Y33" s="41">
        <v>67.849999999999994</v>
      </c>
      <c r="Z33" s="41">
        <v>67.22</v>
      </c>
      <c r="AA33" s="41">
        <v>67.7</v>
      </c>
      <c r="AB33" s="104">
        <v>814800</v>
      </c>
      <c r="AC33" s="9">
        <v>67.42</v>
      </c>
      <c r="AD33" s="2">
        <f t="shared" si="0"/>
        <v>0.62999999999999545</v>
      </c>
      <c r="AE33" s="138">
        <f t="shared" si="1"/>
        <v>-1.0371906949177001E-3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42709</v>
      </c>
      <c r="X34" s="41">
        <v>67.650000000000006</v>
      </c>
      <c r="Y34" s="41">
        <v>68.209999999999994</v>
      </c>
      <c r="Z34" s="41">
        <v>67.48</v>
      </c>
      <c r="AA34" s="41">
        <v>67.77</v>
      </c>
      <c r="AB34" s="104">
        <v>778100</v>
      </c>
      <c r="AC34" s="9">
        <v>67.489999999999995</v>
      </c>
      <c r="AD34" s="2">
        <f t="shared" si="0"/>
        <v>0.72999999999998977</v>
      </c>
      <c r="AE34" s="138">
        <f t="shared" si="1"/>
        <v>4.6144685918425576E-3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42706</v>
      </c>
      <c r="X35" s="41">
        <v>67.78</v>
      </c>
      <c r="Y35" s="41">
        <v>68.06</v>
      </c>
      <c r="Z35" s="41">
        <v>67.239999999999995</v>
      </c>
      <c r="AA35" s="41">
        <v>67.459999999999994</v>
      </c>
      <c r="AB35" s="104">
        <v>697000</v>
      </c>
      <c r="AC35" s="9">
        <v>67.180000000000007</v>
      </c>
      <c r="AD35" s="2">
        <f t="shared" si="0"/>
        <v>0.82000000000000739</v>
      </c>
      <c r="AE35" s="138">
        <f t="shared" si="1"/>
        <v>-4.2982066103451899E-3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214</v>
      </c>
      <c r="M36" s="2">
        <f>K54+M54-F54</f>
        <v>121.94999999999982</v>
      </c>
      <c r="W36" s="123">
        <v>42705</v>
      </c>
      <c r="X36" s="41">
        <v>66.819999999999993</v>
      </c>
      <c r="Y36" s="41">
        <v>67.87</v>
      </c>
      <c r="Z36" s="41">
        <v>66.819999999999993</v>
      </c>
      <c r="AA36" s="41">
        <v>67.75</v>
      </c>
      <c r="AB36" s="104">
        <v>861700</v>
      </c>
      <c r="AC36" s="9">
        <v>67.47</v>
      </c>
      <c r="AD36" s="2">
        <f t="shared" si="0"/>
        <v>1.0500000000000114</v>
      </c>
      <c r="AE36" s="138">
        <f t="shared" si="1"/>
        <v>1.3824192336589158E-2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42704</v>
      </c>
      <c r="X37" s="41">
        <v>67.11</v>
      </c>
      <c r="Y37" s="41">
        <v>67.599999999999994</v>
      </c>
      <c r="Z37" s="41">
        <v>66.790000000000006</v>
      </c>
      <c r="AA37" s="41">
        <v>66.83</v>
      </c>
      <c r="AB37" s="104">
        <v>1552700</v>
      </c>
      <c r="AC37" s="9">
        <v>66.55</v>
      </c>
      <c r="AD37" s="2">
        <f t="shared" si="0"/>
        <v>0.80999999999998806</v>
      </c>
      <c r="AE37" s="138">
        <f t="shared" si="1"/>
        <v>6.0141332130503322E-4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42703</v>
      </c>
      <c r="X38" s="41">
        <v>66.45</v>
      </c>
      <c r="Y38" s="41">
        <v>67.17</v>
      </c>
      <c r="Z38" s="41">
        <v>66.22</v>
      </c>
      <c r="AA38" s="41">
        <v>66.790000000000006</v>
      </c>
      <c r="AB38" s="104">
        <v>737900</v>
      </c>
      <c r="AC38" s="9">
        <v>66.510000000000005</v>
      </c>
      <c r="AD38" s="2">
        <f t="shared" si="0"/>
        <v>0.95000000000000284</v>
      </c>
      <c r="AE38" s="138">
        <f t="shared" si="1"/>
        <v>2.4114544084401501E-3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42702</v>
      </c>
      <c r="X39" s="41">
        <v>66.75</v>
      </c>
      <c r="Y39" s="41">
        <v>66.91</v>
      </c>
      <c r="Z39" s="41">
        <v>66.42</v>
      </c>
      <c r="AA39" s="41">
        <v>66.63</v>
      </c>
      <c r="AB39" s="104">
        <v>867200</v>
      </c>
      <c r="AC39" s="9">
        <v>66.349999999999994</v>
      </c>
      <c r="AD39" s="2">
        <f t="shared" si="0"/>
        <v>0.48999999999999488</v>
      </c>
      <c r="AE39" s="138">
        <f t="shared" si="1"/>
        <v>-1.3546056592415034E-3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42699</v>
      </c>
      <c r="X40" s="41">
        <v>66.16</v>
      </c>
      <c r="Y40" s="41">
        <v>66.900000000000006</v>
      </c>
      <c r="Z40" s="41">
        <v>65.959999999999994</v>
      </c>
      <c r="AA40" s="41">
        <v>66.72</v>
      </c>
      <c r="AB40" s="104">
        <v>299800</v>
      </c>
      <c r="AC40" s="9">
        <v>66.44</v>
      </c>
      <c r="AD40" s="2">
        <f t="shared" si="0"/>
        <v>0.94000000000001194</v>
      </c>
      <c r="AE40" s="138">
        <f t="shared" si="1"/>
        <v>1.0187015356545537E-2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42697</v>
      </c>
      <c r="X41" s="41">
        <v>65.73</v>
      </c>
      <c r="Y41" s="41">
        <v>66.180000000000007</v>
      </c>
      <c r="Z41" s="41">
        <v>65.7</v>
      </c>
      <c r="AA41" s="41">
        <v>66.05</v>
      </c>
      <c r="AB41" s="104">
        <v>491900</v>
      </c>
      <c r="AC41" s="9">
        <v>65.77</v>
      </c>
      <c r="AD41" s="2">
        <f t="shared" si="0"/>
        <v>0.48000000000000398</v>
      </c>
      <c r="AE41" s="138">
        <f t="shared" si="1"/>
        <v>-7.5964752354906739E-4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42696</v>
      </c>
      <c r="X42" s="41">
        <v>66.209999999999994</v>
      </c>
      <c r="Y42" s="41">
        <v>66.34</v>
      </c>
      <c r="Z42" s="41">
        <v>65.900000000000006</v>
      </c>
      <c r="AA42" s="41">
        <v>66.099999999999994</v>
      </c>
      <c r="AB42" s="104">
        <v>958200</v>
      </c>
      <c r="AC42" s="9">
        <v>65.819999999999993</v>
      </c>
      <c r="AD42" s="2">
        <f t="shared" si="0"/>
        <v>0.43999999999999773</v>
      </c>
      <c r="AE42" s="138">
        <f t="shared" si="1"/>
        <v>1.8264840182646847E-3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77.132000000000005</v>
      </c>
      <c r="T43" s="139" t="s">
        <v>98</v>
      </c>
      <c r="U43" s="140">
        <v>68.819999999999993</v>
      </c>
      <c r="W43" s="123">
        <v>42695</v>
      </c>
      <c r="X43" s="41">
        <v>64.67</v>
      </c>
      <c r="Y43" s="41">
        <v>66.08</v>
      </c>
      <c r="Z43" s="41">
        <v>64.67</v>
      </c>
      <c r="AA43" s="41">
        <v>65.97</v>
      </c>
      <c r="AB43" s="104">
        <v>1405000</v>
      </c>
      <c r="AC43" s="9">
        <v>65.7</v>
      </c>
      <c r="AD43" s="2">
        <f t="shared" si="0"/>
        <v>1.4099999999999966</v>
      </c>
      <c r="AE43" s="138">
        <f t="shared" si="1"/>
        <v>2.4641297567061793E-2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76.430800000000005</v>
      </c>
      <c r="T44" s="108" t="s">
        <v>99</v>
      </c>
      <c r="U44" s="106">
        <v>69</v>
      </c>
      <c r="W44" s="123">
        <v>42692</v>
      </c>
      <c r="X44" s="41">
        <v>63.93</v>
      </c>
      <c r="Y44" s="41">
        <v>64.47</v>
      </c>
      <c r="Z44" s="41">
        <v>63.71</v>
      </c>
      <c r="AA44" s="41">
        <v>64.39</v>
      </c>
      <c r="AB44" s="104">
        <v>676400</v>
      </c>
      <c r="AC44" s="9">
        <v>64.12</v>
      </c>
      <c r="AD44" s="2">
        <f t="shared" si="0"/>
        <v>0.75999999999999801</v>
      </c>
      <c r="AE44" s="138">
        <f t="shared" si="1"/>
        <v>3.2858707557503752E-3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75.729600000000005</v>
      </c>
      <c r="Q45" s="2"/>
      <c r="T45" s="108" t="s">
        <v>100</v>
      </c>
      <c r="U45" s="106" t="s">
        <v>129</v>
      </c>
      <c r="W45" s="123">
        <v>42691</v>
      </c>
      <c r="X45" s="41">
        <v>63.58</v>
      </c>
      <c r="Y45" s="41">
        <v>64.47</v>
      </c>
      <c r="Z45" s="41">
        <v>63.41</v>
      </c>
      <c r="AA45" s="41">
        <v>64.180000000000007</v>
      </c>
      <c r="AB45" s="104">
        <v>1019700</v>
      </c>
      <c r="AC45" s="9">
        <v>63.91</v>
      </c>
      <c r="AD45" s="2">
        <f t="shared" si="0"/>
        <v>1.0600000000000023</v>
      </c>
      <c r="AE45" s="138">
        <f t="shared" si="1"/>
        <v>1.075438873952228E-2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75.028400000000005</v>
      </c>
      <c r="Q46" s="2"/>
      <c r="T46" s="108" t="s">
        <v>101</v>
      </c>
      <c r="U46" s="106" t="s">
        <v>129</v>
      </c>
      <c r="W46" s="123">
        <v>42690</v>
      </c>
      <c r="X46" s="41">
        <v>63.88</v>
      </c>
      <c r="Y46" s="41">
        <v>64</v>
      </c>
      <c r="Z46" s="41">
        <v>63.19</v>
      </c>
      <c r="AA46" s="41">
        <v>63.49</v>
      </c>
      <c r="AB46" s="104">
        <v>936100</v>
      </c>
      <c r="AC46" s="9">
        <v>63.23</v>
      </c>
      <c r="AD46" s="2">
        <f t="shared" si="0"/>
        <v>0.81000000000000227</v>
      </c>
      <c r="AE46" s="138">
        <f t="shared" si="1"/>
        <v>-1.2956603184514637E-2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74.327200000000005</v>
      </c>
      <c r="Q47" s="2"/>
      <c r="T47" s="108" t="s">
        <v>102</v>
      </c>
      <c r="U47" s="106">
        <v>68.489999999999995</v>
      </c>
      <c r="W47" s="123">
        <v>42689</v>
      </c>
      <c r="X47" s="41">
        <v>63.98</v>
      </c>
      <c r="Y47" s="41">
        <v>64.45</v>
      </c>
      <c r="Z47" s="41">
        <v>63.49</v>
      </c>
      <c r="AA47" s="41">
        <v>64.33</v>
      </c>
      <c r="AB47" s="104">
        <v>894600</v>
      </c>
      <c r="AC47" s="9">
        <v>64.06</v>
      </c>
      <c r="AD47" s="2">
        <f t="shared" si="0"/>
        <v>0.96000000000000085</v>
      </c>
      <c r="AE47" s="138">
        <f t="shared" si="1"/>
        <v>9.1367359798362191E-3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73.626000000000005</v>
      </c>
      <c r="Q48" s="2"/>
      <c r="T48" s="108" t="s">
        <v>103</v>
      </c>
      <c r="U48" s="106">
        <v>1.18781</v>
      </c>
      <c r="W48" s="123">
        <v>42688</v>
      </c>
      <c r="X48" s="41">
        <v>63.58</v>
      </c>
      <c r="Y48" s="41">
        <v>63.89</v>
      </c>
      <c r="Z48" s="41">
        <v>62.97</v>
      </c>
      <c r="AA48" s="41">
        <v>63.75</v>
      </c>
      <c r="AB48" s="104">
        <v>1770600</v>
      </c>
      <c r="AC48" s="9">
        <v>63.48</v>
      </c>
      <c r="AD48" s="2">
        <f t="shared" si="0"/>
        <v>0.92000000000000171</v>
      </c>
      <c r="AE48" s="138">
        <f t="shared" si="1"/>
        <v>7.7790125416732359E-3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72.924800000000005</v>
      </c>
      <c r="Q49" s="2"/>
      <c r="T49" s="108" t="s">
        <v>104</v>
      </c>
      <c r="U49" s="106" t="s">
        <v>129</v>
      </c>
      <c r="W49" s="123">
        <v>42685</v>
      </c>
      <c r="X49" s="41">
        <v>64.41</v>
      </c>
      <c r="Y49" s="41">
        <v>64.72</v>
      </c>
      <c r="Z49" s="41">
        <v>62.97</v>
      </c>
      <c r="AA49" s="41">
        <v>63.25</v>
      </c>
      <c r="AB49" s="104">
        <v>1163200</v>
      </c>
      <c r="AC49" s="9">
        <v>62.99</v>
      </c>
      <c r="AD49" s="2">
        <f t="shared" si="0"/>
        <v>1.75</v>
      </c>
      <c r="AE49" s="138">
        <f t="shared" si="1"/>
        <v>-2.250155183116076E-2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72.223600000000005</v>
      </c>
      <c r="Q50" s="2"/>
      <c r="T50" s="108"/>
      <c r="U50" s="106"/>
      <c r="W50" s="123">
        <v>42684</v>
      </c>
      <c r="X50" s="41">
        <v>63.48</v>
      </c>
      <c r="Y50" s="41">
        <v>65.13</v>
      </c>
      <c r="Z50" s="41">
        <v>62.89</v>
      </c>
      <c r="AA50" s="41">
        <v>64.709999999999994</v>
      </c>
      <c r="AB50" s="104">
        <v>1533300</v>
      </c>
      <c r="AC50" s="9">
        <v>64.44</v>
      </c>
      <c r="AD50" s="2">
        <f t="shared" si="0"/>
        <v>2.2399999999999949</v>
      </c>
      <c r="AE50" s="138">
        <f t="shared" si="1"/>
        <v>2.2045995241871452E-2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71.522400000000005</v>
      </c>
      <c r="Q51" s="2"/>
      <c r="T51" s="108" t="s">
        <v>105</v>
      </c>
      <c r="U51" s="106" t="s">
        <v>548</v>
      </c>
      <c r="W51" s="123">
        <v>42683</v>
      </c>
      <c r="X51" s="41">
        <v>62.49</v>
      </c>
      <c r="Y51" s="41">
        <v>63.48</v>
      </c>
      <c r="Z51" s="41">
        <v>62.38</v>
      </c>
      <c r="AA51" s="41">
        <v>63.31</v>
      </c>
      <c r="AB51" s="104">
        <v>1546200</v>
      </c>
      <c r="AC51" s="9">
        <v>63.05</v>
      </c>
      <c r="AD51" s="2">
        <f t="shared" si="0"/>
        <v>1.0999999999999943</v>
      </c>
      <c r="AE51" s="138">
        <f>AC51/AC52-1</f>
        <v>-9.5821551994973442E-3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70.821200000000005</v>
      </c>
      <c r="Q52" s="2"/>
      <c r="T52" s="108" t="s">
        <v>106</v>
      </c>
      <c r="U52" s="106" t="s">
        <v>549</v>
      </c>
      <c r="W52" s="123">
        <v>42682</v>
      </c>
      <c r="X52" s="41">
        <v>63.49</v>
      </c>
      <c r="Y52" s="41">
        <v>64</v>
      </c>
      <c r="Z52" s="41">
        <v>62.93</v>
      </c>
      <c r="AA52" s="41">
        <v>63.93</v>
      </c>
      <c r="AB52" s="104">
        <v>797400</v>
      </c>
      <c r="AC52" s="9">
        <v>63.66</v>
      </c>
      <c r="AD52" s="2">
        <f t="shared" si="0"/>
        <v>1.0700000000000003</v>
      </c>
      <c r="AE52" s="138">
        <f t="shared" si="1"/>
        <v>6.3231109705974564E-3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70.12</v>
      </c>
      <c r="Q53" s="2"/>
      <c r="T53" s="108" t="s">
        <v>107</v>
      </c>
      <c r="U53" s="107">
        <v>1328077</v>
      </c>
      <c r="W53" s="123">
        <v>42681</v>
      </c>
      <c r="X53" s="41">
        <v>62.48</v>
      </c>
      <c r="Y53" s="41">
        <v>63.55</v>
      </c>
      <c r="Z53" s="41">
        <v>62.48</v>
      </c>
      <c r="AA53" s="41">
        <v>63.52</v>
      </c>
      <c r="AB53" s="104">
        <v>812200</v>
      </c>
      <c r="AC53" s="9">
        <v>63.26</v>
      </c>
      <c r="AD53" s="2">
        <f t="shared" si="0"/>
        <v>1.0700000000000003</v>
      </c>
      <c r="AE53" s="138">
        <f t="shared" si="1"/>
        <v>2.5449829794131906E-2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69.418800000000005</v>
      </c>
      <c r="Q54" s="2"/>
      <c r="T54" s="108" t="s">
        <v>110</v>
      </c>
      <c r="U54" s="107">
        <v>1063070</v>
      </c>
      <c r="W54" s="123">
        <v>42678</v>
      </c>
      <c r="X54" s="41">
        <v>62.26</v>
      </c>
      <c r="Y54" s="41">
        <v>62.48</v>
      </c>
      <c r="Z54" s="41">
        <v>61.72</v>
      </c>
      <c r="AA54" s="41">
        <v>61.95</v>
      </c>
      <c r="AB54" s="104">
        <v>718100</v>
      </c>
      <c r="AC54" s="9">
        <v>61.69</v>
      </c>
      <c r="AD54" s="2">
        <f t="shared" si="0"/>
        <v>0.75999999999999801</v>
      </c>
      <c r="AE54" s="138">
        <f t="shared" si="1"/>
        <v>-6.602254428341392E-3</v>
      </c>
    </row>
    <row r="55" spans="1:42" x14ac:dyDescent="0.25">
      <c r="O55" s="83">
        <v>0.98</v>
      </c>
      <c r="P55" s="83">
        <f t="shared" si="2"/>
        <v>68.717600000000004</v>
      </c>
      <c r="T55" s="108" t="s">
        <v>108</v>
      </c>
      <c r="U55" s="106" t="s">
        <v>642</v>
      </c>
      <c r="W55" s="123">
        <v>42677</v>
      </c>
      <c r="X55" s="41">
        <v>62.31</v>
      </c>
      <c r="Y55" s="41">
        <v>62.88</v>
      </c>
      <c r="Z55" s="41">
        <v>62.03</v>
      </c>
      <c r="AA55" s="41">
        <v>62.36</v>
      </c>
      <c r="AB55" s="104">
        <v>968300</v>
      </c>
      <c r="AC55" s="9">
        <v>62.1</v>
      </c>
      <c r="AD55" s="2">
        <f t="shared" si="0"/>
        <v>0.85000000000000142</v>
      </c>
      <c r="AE55" s="138">
        <f t="shared" si="1"/>
        <v>9.6711798839455021E-4</v>
      </c>
    </row>
    <row r="56" spans="1:42" x14ac:dyDescent="0.25">
      <c r="O56" s="83">
        <v>0.97</v>
      </c>
      <c r="P56" s="83">
        <f t="shared" si="2"/>
        <v>68.016400000000004</v>
      </c>
      <c r="T56" s="108" t="s">
        <v>111</v>
      </c>
      <c r="U56" s="106">
        <v>20.39</v>
      </c>
      <c r="W56" s="123">
        <v>42676</v>
      </c>
      <c r="X56" s="41">
        <v>62.15</v>
      </c>
      <c r="Y56" s="41">
        <v>62.61</v>
      </c>
      <c r="Z56" s="41">
        <v>62.02</v>
      </c>
      <c r="AA56" s="41">
        <v>62.3</v>
      </c>
      <c r="AB56" s="104">
        <v>1051500</v>
      </c>
      <c r="AC56" s="9">
        <v>62.04</v>
      </c>
      <c r="AD56" s="2">
        <f t="shared" si="0"/>
        <v>0.58999999999999631</v>
      </c>
      <c r="AE56" s="138">
        <f t="shared" si="1"/>
        <v>3.5587188612098419E-3</v>
      </c>
    </row>
    <row r="57" spans="1:42" x14ac:dyDescent="0.25">
      <c r="O57" s="83">
        <v>0.96</v>
      </c>
      <c r="P57" s="83">
        <f t="shared" si="2"/>
        <v>67.315200000000004</v>
      </c>
      <c r="T57" s="108" t="s">
        <v>112</v>
      </c>
      <c r="U57" s="106">
        <v>3.44</v>
      </c>
      <c r="W57" s="123">
        <v>42675</v>
      </c>
      <c r="X57" s="41">
        <v>63.02</v>
      </c>
      <c r="Y57" s="41">
        <v>63.11</v>
      </c>
      <c r="Z57" s="41">
        <v>61.85</v>
      </c>
      <c r="AA57" s="41">
        <v>62.08</v>
      </c>
      <c r="AB57" s="104">
        <v>1430800</v>
      </c>
      <c r="AC57" s="9">
        <v>61.82</v>
      </c>
      <c r="AD57" s="2">
        <f t="shared" si="0"/>
        <v>1.259999999999998</v>
      </c>
      <c r="AE57" s="138">
        <f t="shared" si="1"/>
        <v>-1.2617792684874618E-2</v>
      </c>
      <c r="AL57" s="234"/>
      <c r="AO57" s="234"/>
    </row>
    <row r="58" spans="1:42" x14ac:dyDescent="0.25">
      <c r="O58" s="83">
        <v>0.95</v>
      </c>
      <c r="P58" s="83">
        <f t="shared" si="2"/>
        <v>66.614000000000004</v>
      </c>
      <c r="T58" s="108" t="s">
        <v>109</v>
      </c>
      <c r="U58" s="106" t="s">
        <v>387</v>
      </c>
      <c r="W58" s="123">
        <v>42674</v>
      </c>
      <c r="X58" s="41">
        <v>62.99</v>
      </c>
      <c r="Y58" s="41">
        <v>63.38</v>
      </c>
      <c r="Z58" s="41">
        <v>62.83</v>
      </c>
      <c r="AA58" s="41">
        <v>62.87</v>
      </c>
      <c r="AB58" s="104">
        <v>1134800</v>
      </c>
      <c r="AC58" s="9">
        <v>62.61</v>
      </c>
      <c r="AD58" s="2">
        <f t="shared" si="0"/>
        <v>0.55000000000000426</v>
      </c>
      <c r="AE58" s="138">
        <f t="shared" si="1"/>
        <v>-3.6600891152133164E-3</v>
      </c>
    </row>
    <row r="59" spans="1:42" x14ac:dyDescent="0.25">
      <c r="O59" s="83">
        <v>0.94</v>
      </c>
      <c r="P59" s="83">
        <f t="shared" si="2"/>
        <v>65.912800000000004</v>
      </c>
      <c r="W59" s="123">
        <v>42671</v>
      </c>
      <c r="X59" s="41">
        <v>63.2</v>
      </c>
      <c r="Y59" s="41">
        <v>63.85</v>
      </c>
      <c r="Z59" s="41">
        <v>62.9</v>
      </c>
      <c r="AA59" s="41">
        <v>63.1</v>
      </c>
      <c r="AB59" s="104">
        <v>812700</v>
      </c>
      <c r="AC59" s="9">
        <v>62.84</v>
      </c>
      <c r="AD59" s="2">
        <f t="shared" si="0"/>
        <v>0.95000000000000284</v>
      </c>
      <c r="AE59" s="138">
        <f t="shared" si="1"/>
        <v>-4.9089469517021866E-3</v>
      </c>
      <c r="AL59" s="234"/>
    </row>
    <row r="60" spans="1:42" x14ac:dyDescent="0.25">
      <c r="O60" s="83">
        <v>0.93</v>
      </c>
      <c r="P60" s="83">
        <f t="shared" si="2"/>
        <v>65.211600000000004</v>
      </c>
      <c r="W60" s="123">
        <v>42670</v>
      </c>
      <c r="X60" s="41">
        <v>63.7</v>
      </c>
      <c r="Y60" s="41">
        <v>63.78</v>
      </c>
      <c r="Z60" s="41">
        <v>62.84</v>
      </c>
      <c r="AA60" s="41">
        <v>63.41</v>
      </c>
      <c r="AB60" s="104">
        <v>1158000</v>
      </c>
      <c r="AC60" s="9">
        <v>63.15</v>
      </c>
      <c r="AD60" s="2">
        <f t="shared" si="0"/>
        <v>0.93999999999999773</v>
      </c>
      <c r="AE60" s="138">
        <f t="shared" si="1"/>
        <v>5.0931083877128192E-3</v>
      </c>
    </row>
    <row r="61" spans="1:42" x14ac:dyDescent="0.25">
      <c r="O61" s="83">
        <v>0.92</v>
      </c>
      <c r="P61" s="83">
        <f t="shared" si="2"/>
        <v>64.510400000000004</v>
      </c>
      <c r="W61" s="123">
        <v>42669</v>
      </c>
      <c r="X61" s="41">
        <v>65.72</v>
      </c>
      <c r="Y61" s="41">
        <v>65.930000000000007</v>
      </c>
      <c r="Z61" s="41">
        <v>62.87</v>
      </c>
      <c r="AA61" s="41">
        <v>63.09</v>
      </c>
      <c r="AB61" s="104">
        <v>3165600</v>
      </c>
      <c r="AC61" s="9">
        <v>62.83</v>
      </c>
      <c r="AD61" s="2">
        <f t="shared" si="0"/>
        <v>3.0600000000000094</v>
      </c>
      <c r="AE61" s="138">
        <f t="shared" si="1"/>
        <v>-3.9590339345765835E-2</v>
      </c>
      <c r="AL61" s="234"/>
      <c r="AO61" s="234"/>
    </row>
    <row r="62" spans="1:42" x14ac:dyDescent="0.25">
      <c r="O62" s="83">
        <v>0.91</v>
      </c>
      <c r="P62" s="83">
        <f t="shared" si="2"/>
        <v>63.809200000000004</v>
      </c>
      <c r="W62" s="123">
        <v>42668</v>
      </c>
      <c r="X62" s="41">
        <v>65.52</v>
      </c>
      <c r="Y62" s="41">
        <v>65.88</v>
      </c>
      <c r="Z62" s="41">
        <v>65.349999999999994</v>
      </c>
      <c r="AA62" s="41">
        <v>65.69</v>
      </c>
      <c r="AB62" s="104">
        <v>1079200</v>
      </c>
      <c r="AC62" s="9">
        <v>65.42</v>
      </c>
      <c r="AD62" s="2">
        <f t="shared" si="0"/>
        <v>0.53000000000000114</v>
      </c>
      <c r="AE62" s="138">
        <f t="shared" si="1"/>
        <v>1.9911165568999856E-3</v>
      </c>
    </row>
    <row r="63" spans="1:42" x14ac:dyDescent="0.25">
      <c r="O63" s="83">
        <v>0.9</v>
      </c>
      <c r="P63" s="83">
        <f t="shared" si="2"/>
        <v>63.108000000000004</v>
      </c>
      <c r="W63" s="123">
        <v>42667</v>
      </c>
      <c r="X63" s="41">
        <v>65.819999999999993</v>
      </c>
      <c r="Y63" s="41">
        <v>65.84</v>
      </c>
      <c r="Z63" s="41">
        <v>65.290000000000006</v>
      </c>
      <c r="AA63" s="41">
        <v>65.56</v>
      </c>
      <c r="AB63" s="104">
        <v>939000</v>
      </c>
      <c r="AC63" s="9">
        <v>65.290000000000006</v>
      </c>
      <c r="AD63" s="2">
        <f t="shared" si="0"/>
        <v>0.54999999999999716</v>
      </c>
      <c r="AE63" s="138">
        <f t="shared" si="1"/>
        <v>-3.0623181748579142E-4</v>
      </c>
      <c r="AL63" s="234"/>
      <c r="AO63" s="234"/>
      <c r="AP63" s="234"/>
    </row>
    <row r="64" spans="1:42" x14ac:dyDescent="0.25">
      <c r="W64" s="123">
        <v>42664</v>
      </c>
      <c r="X64" s="41">
        <v>64.989999999999995</v>
      </c>
      <c r="Y64" s="41">
        <v>65.64</v>
      </c>
      <c r="Z64" s="41">
        <v>64.58</v>
      </c>
      <c r="AA64" s="41">
        <v>65.58</v>
      </c>
      <c r="AB64" s="104">
        <v>912600</v>
      </c>
      <c r="AC64" s="9">
        <v>65.31</v>
      </c>
      <c r="AD64" s="2">
        <f t="shared" si="0"/>
        <v>1.0600000000000023</v>
      </c>
      <c r="AE64" s="138">
        <f t="shared" si="1"/>
        <v>-1.3761467889908952E-3</v>
      </c>
    </row>
    <row r="65" spans="23:41" x14ac:dyDescent="0.25">
      <c r="W65" s="123">
        <v>42663</v>
      </c>
      <c r="X65" s="41">
        <v>66.31</v>
      </c>
      <c r="Y65" s="41">
        <v>66.510000000000005</v>
      </c>
      <c r="Z65" s="41">
        <v>65.5</v>
      </c>
      <c r="AA65" s="41">
        <v>65.67</v>
      </c>
      <c r="AB65" s="104">
        <v>1204300</v>
      </c>
      <c r="AC65" s="9">
        <v>65.400000000000006</v>
      </c>
      <c r="AD65" s="2">
        <f t="shared" si="0"/>
        <v>1.0100000000000051</v>
      </c>
      <c r="AE65" s="138">
        <f t="shared" si="1"/>
        <v>-1.6689219666215616E-2</v>
      </c>
      <c r="AL65" s="234"/>
      <c r="AO65" s="234"/>
    </row>
    <row r="66" spans="23:41" x14ac:dyDescent="0.25">
      <c r="W66" s="123">
        <v>42662</v>
      </c>
      <c r="X66" s="41">
        <v>66.5</v>
      </c>
      <c r="Y66" s="41">
        <v>67.48</v>
      </c>
      <c r="Z66" s="41">
        <v>66.040000000000006</v>
      </c>
      <c r="AA66" s="41">
        <v>66.790000000000006</v>
      </c>
      <c r="AB66" s="104">
        <v>1077100</v>
      </c>
      <c r="AC66" s="9">
        <v>66.510000000000005</v>
      </c>
      <c r="AD66" s="2">
        <f t="shared" si="0"/>
        <v>1.4399999999999977</v>
      </c>
      <c r="AE66" s="138">
        <f t="shared" si="1"/>
        <v>-2.3998800059996661E-3</v>
      </c>
    </row>
    <row r="67" spans="23:41" x14ac:dyDescent="0.25">
      <c r="W67" s="123">
        <v>42661</v>
      </c>
      <c r="X67" s="41">
        <v>66.97</v>
      </c>
      <c r="Y67" s="41">
        <v>67.33</v>
      </c>
      <c r="Z67" s="41">
        <v>66.42</v>
      </c>
      <c r="AA67" s="41">
        <v>66.95</v>
      </c>
      <c r="AB67" s="104">
        <v>1106400</v>
      </c>
      <c r="AC67" s="9">
        <v>66.67</v>
      </c>
      <c r="AD67" s="2">
        <f>Y67-Z67</f>
        <v>0.90999999999999659</v>
      </c>
      <c r="AE67" s="138">
        <f>AC67/AC68-1</f>
        <v>9.6925639860669932E-3</v>
      </c>
      <c r="AL67" s="234"/>
    </row>
    <row r="68" spans="23:41" x14ac:dyDescent="0.25">
      <c r="W68" s="123">
        <v>42660</v>
      </c>
      <c r="X68" s="41">
        <v>65.95</v>
      </c>
      <c r="Y68" s="41">
        <v>66.400000000000006</v>
      </c>
      <c r="Z68" s="41">
        <v>65.849999999999994</v>
      </c>
      <c r="AA68" s="41">
        <v>66.31</v>
      </c>
      <c r="AB68" s="104">
        <v>1093100</v>
      </c>
      <c r="AC68" s="9">
        <v>66.03</v>
      </c>
      <c r="AD68" s="2">
        <f>Y68-Z68</f>
        <v>0.55000000000001137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3" priority="39">
      <formula>Q12&gt;0</formula>
    </cfRule>
    <cfRule type="expression" dxfId="4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1" priority="33">
      <formula>F25&gt;0</formula>
    </cfRule>
    <cfRule type="expression" dxfId="440" priority="34">
      <formula>F25&lt;0</formula>
    </cfRule>
  </conditionalFormatting>
  <conditionalFormatting sqref="F30">
    <cfRule type="expression" dxfId="439" priority="31">
      <formula>F30&gt;0</formula>
    </cfRule>
    <cfRule type="expression" dxfId="438" priority="32">
      <formula>F30&lt;0</formula>
    </cfRule>
  </conditionalFormatting>
  <conditionalFormatting sqref="F31">
    <cfRule type="expression" dxfId="437" priority="29">
      <formula>F31&gt;0</formula>
    </cfRule>
    <cfRule type="expression" dxfId="436" priority="30">
      <formula>F31&lt;0</formula>
    </cfRule>
  </conditionalFormatting>
  <conditionalFormatting sqref="F32:F34">
    <cfRule type="expression" dxfId="435" priority="27">
      <formula>F32&gt;0</formula>
    </cfRule>
    <cfRule type="expression" dxfId="434" priority="28">
      <formula>F32&lt;0</formula>
    </cfRule>
  </conditionalFormatting>
  <conditionalFormatting sqref="H25:H29">
    <cfRule type="expression" dxfId="433" priority="25">
      <formula>H25&gt;0</formula>
    </cfRule>
    <cfRule type="expression" dxfId="432" priority="26">
      <formula>H25&lt;0</formula>
    </cfRule>
  </conditionalFormatting>
  <conditionalFormatting sqref="H30">
    <cfRule type="expression" dxfId="431" priority="23">
      <formula>H30&gt;0</formula>
    </cfRule>
    <cfRule type="expression" dxfId="430" priority="24">
      <formula>H30&lt;0</formula>
    </cfRule>
  </conditionalFormatting>
  <conditionalFormatting sqref="H31">
    <cfRule type="expression" dxfId="429" priority="21">
      <formula>H31&gt;0</formula>
    </cfRule>
    <cfRule type="expression" dxfId="428" priority="22">
      <formula>H31&lt;0</formula>
    </cfRule>
  </conditionalFormatting>
  <conditionalFormatting sqref="H32:H34">
    <cfRule type="expression" dxfId="427" priority="19">
      <formula>H32&gt;0</formula>
    </cfRule>
    <cfRule type="expression" dxfId="426" priority="20">
      <formula>H32&lt;0</formula>
    </cfRule>
  </conditionalFormatting>
  <conditionalFormatting sqref="F35">
    <cfRule type="expression" dxfId="425" priority="17">
      <formula>F35&gt;0</formula>
    </cfRule>
    <cfRule type="expression" dxfId="424" priority="18">
      <formula>F35&lt;0</formula>
    </cfRule>
  </conditionalFormatting>
  <conditionalFormatting sqref="H35">
    <cfRule type="expression" dxfId="423" priority="15">
      <formula>H35&gt;0</formula>
    </cfRule>
    <cfRule type="expression" dxfId="422" priority="16">
      <formula>H35&lt;0</formula>
    </cfRule>
  </conditionalFormatting>
  <conditionalFormatting sqref="F36">
    <cfRule type="expression" dxfId="421" priority="13">
      <formula>F36&gt;0</formula>
    </cfRule>
    <cfRule type="expression" dxfId="420" priority="14">
      <formula>F36&lt;0</formula>
    </cfRule>
  </conditionalFormatting>
  <conditionalFormatting sqref="H36">
    <cfRule type="expression" dxfId="419" priority="11">
      <formula>H36&gt;0</formula>
    </cfRule>
    <cfRule type="expression" dxfId="418" priority="12">
      <formula>H36&lt;0</formula>
    </cfRule>
  </conditionalFormatting>
  <conditionalFormatting sqref="H23:H24">
    <cfRule type="expression" dxfId="417" priority="5">
      <formula>H23&gt;0</formula>
    </cfRule>
    <cfRule type="expression" dxfId="416" priority="6">
      <formula>H23&lt;0</formula>
    </cfRule>
  </conditionalFormatting>
  <conditionalFormatting sqref="F23:F24">
    <cfRule type="expression" dxfId="415" priority="7">
      <formula>F23&gt;0</formula>
    </cfRule>
    <cfRule type="expression" dxfId="414" priority="8">
      <formula>F23&lt;0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246</v>
      </c>
      <c r="W2" s="94">
        <v>42755</v>
      </c>
      <c r="X2" s="10">
        <v>54.75</v>
      </c>
      <c r="Y2" s="10">
        <v>55.11</v>
      </c>
      <c r="Z2" s="10">
        <v>54.62</v>
      </c>
      <c r="AA2" s="10">
        <v>55.07</v>
      </c>
      <c r="AB2" s="95">
        <v>22988500</v>
      </c>
      <c r="AC2" s="10">
        <v>55.07</v>
      </c>
      <c r="AD2" s="2">
        <f>Y2-Z2</f>
        <v>0.49000000000000199</v>
      </c>
      <c r="AE2" s="138">
        <f>AC2/AC3-1</f>
        <v>8.9776474899230241E-3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42754</v>
      </c>
      <c r="X3" s="10">
        <v>54.24</v>
      </c>
      <c r="Y3" s="10">
        <v>54.77</v>
      </c>
      <c r="Z3" s="10">
        <v>53.86</v>
      </c>
      <c r="AA3" s="10">
        <v>54.58</v>
      </c>
      <c r="AB3" s="95">
        <v>20870100</v>
      </c>
      <c r="AC3" s="10">
        <v>54.58</v>
      </c>
      <c r="AD3" s="2">
        <f>Y3-Z3</f>
        <v>0.91000000000000369</v>
      </c>
      <c r="AE3" s="138">
        <f>AC3/AC4-1</f>
        <v>5.7121798415329383E-3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55.07</v>
      </c>
      <c r="R4" s="505">
        <v>8.9999999999999993E-3</v>
      </c>
      <c r="T4" s="121"/>
      <c r="W4" s="94">
        <v>42753</v>
      </c>
      <c r="X4" s="10">
        <v>53.78</v>
      </c>
      <c r="Y4" s="10">
        <v>54.29</v>
      </c>
      <c r="Z4" s="10">
        <v>53.34</v>
      </c>
      <c r="AA4" s="10">
        <v>54.27</v>
      </c>
      <c r="AB4" s="95">
        <v>21052400</v>
      </c>
      <c r="AC4" s="10">
        <v>54.27</v>
      </c>
      <c r="AD4" s="2">
        <f t="shared" ref="AD4:AD67" si="1">Y4-Z4</f>
        <v>0.94999999999999574</v>
      </c>
      <c r="AE4" s="138">
        <f t="shared" ref="AE4:AE66" si="2">AC4/AC5-1</f>
        <v>9.1111937523242759E-3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6608.4</v>
      </c>
      <c r="W5" s="94">
        <v>42752</v>
      </c>
      <c r="X5" s="10">
        <v>54.8</v>
      </c>
      <c r="Y5" s="10">
        <v>54.96</v>
      </c>
      <c r="Z5" s="10">
        <v>53.58</v>
      </c>
      <c r="AA5" s="10">
        <v>53.78</v>
      </c>
      <c r="AB5" s="95">
        <v>26866000</v>
      </c>
      <c r="AC5" s="10">
        <v>53.78</v>
      </c>
      <c r="AD5" s="2">
        <f t="shared" si="1"/>
        <v>1.3800000000000026</v>
      </c>
      <c r="AE5" s="138">
        <f t="shared" si="2"/>
        <v>-2.7662267221117309E-2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42748</v>
      </c>
      <c r="X6" s="10">
        <v>55.11</v>
      </c>
      <c r="Y6" s="10">
        <v>56.2</v>
      </c>
      <c r="Z6" s="10">
        <v>54.65</v>
      </c>
      <c r="AA6" s="10">
        <v>55.31</v>
      </c>
      <c r="AB6" s="95">
        <v>37050500</v>
      </c>
      <c r="AC6" s="10">
        <v>55.31</v>
      </c>
      <c r="AD6" s="2">
        <f t="shared" si="1"/>
        <v>1.5500000000000043</v>
      </c>
      <c r="AE6" s="138">
        <f t="shared" si="2"/>
        <v>1.4862385321100957E-2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886.28000000000611</v>
      </c>
      <c r="R7">
        <v>40</v>
      </c>
      <c r="T7" s="85"/>
      <c r="W7" s="94">
        <v>42747</v>
      </c>
      <c r="X7" s="10">
        <v>54.65</v>
      </c>
      <c r="Y7" s="10">
        <v>54.78</v>
      </c>
      <c r="Z7" s="10">
        <v>53.9</v>
      </c>
      <c r="AA7" s="10">
        <v>54.5</v>
      </c>
      <c r="AB7" s="95">
        <v>20505800</v>
      </c>
      <c r="AC7" s="10">
        <v>54.5</v>
      </c>
      <c r="AD7" s="2">
        <f t="shared" si="1"/>
        <v>0.88000000000000256</v>
      </c>
      <c r="AE7" s="138">
        <f t="shared" si="2"/>
        <v>-5.4744525547444356E-3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58</v>
      </c>
      <c r="W8" s="94">
        <v>42746</v>
      </c>
      <c r="X8" s="10">
        <v>54.6</v>
      </c>
      <c r="Y8" s="10">
        <v>54.8</v>
      </c>
      <c r="Z8" s="10">
        <v>53.72</v>
      </c>
      <c r="AA8" s="10">
        <v>54.8</v>
      </c>
      <c r="AB8" s="95">
        <v>20700000</v>
      </c>
      <c r="AC8" s="10">
        <v>54.8</v>
      </c>
      <c r="AD8" s="2">
        <f t="shared" si="1"/>
        <v>1.0799999999999983</v>
      </c>
      <c r="AE8" s="138">
        <f t="shared" si="2"/>
        <v>3.2954961552544848E-3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P9"/>
      <c r="Q9" s="138">
        <f>IF(Q2=0, 0, Q8/Q6)</f>
        <v>8.854421104054714E-3</v>
      </c>
      <c r="W9" s="94">
        <v>42745</v>
      </c>
      <c r="X9" s="10">
        <v>54.35</v>
      </c>
      <c r="Y9" s="10">
        <v>55.18</v>
      </c>
      <c r="Z9" s="10">
        <v>54.26</v>
      </c>
      <c r="AA9" s="10">
        <v>54.62</v>
      </c>
      <c r="AB9" s="95">
        <v>17951300</v>
      </c>
      <c r="AC9" s="10">
        <v>54.62</v>
      </c>
      <c r="AD9" s="2">
        <f t="shared" si="1"/>
        <v>0.92000000000000171</v>
      </c>
      <c r="AE9" s="138">
        <f t="shared" si="2"/>
        <v>7.0058997050146399E-3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Q10" s="2">
        <f>M106</f>
        <v>828.28000000000611</v>
      </c>
      <c r="W10" s="94">
        <v>42744</v>
      </c>
      <c r="X10" s="10">
        <v>54.68</v>
      </c>
      <c r="Y10" s="10">
        <v>54.81</v>
      </c>
      <c r="Z10" s="10">
        <v>54.18</v>
      </c>
      <c r="AA10" s="10">
        <v>54.24</v>
      </c>
      <c r="AB10" s="95">
        <v>21665600</v>
      </c>
      <c r="AC10" s="10">
        <v>54.24</v>
      </c>
      <c r="AD10" s="2">
        <f t="shared" si="1"/>
        <v>0.63000000000000256</v>
      </c>
      <c r="AE10" s="138">
        <f t="shared" si="2"/>
        <v>-1.4534883720930147E-2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2.8000000000000001E-2</v>
      </c>
      <c r="W11" s="94">
        <v>42741</v>
      </c>
      <c r="X11" s="10">
        <v>55.26</v>
      </c>
      <c r="Y11" s="10">
        <v>55.57</v>
      </c>
      <c r="Z11" s="10">
        <v>54.7</v>
      </c>
      <c r="AA11" s="10">
        <v>55.04</v>
      </c>
      <c r="AB11" s="95">
        <v>18362200</v>
      </c>
      <c r="AC11" s="10">
        <v>55.04</v>
      </c>
      <c r="AD11" s="2">
        <f t="shared" si="1"/>
        <v>0.86999999999999744</v>
      </c>
      <c r="AE11" s="138">
        <f t="shared" si="2"/>
        <v>-2.5371511417180415E-3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42740</v>
      </c>
      <c r="X12" s="10">
        <v>55.49</v>
      </c>
      <c r="Y12" s="10">
        <v>55.82</v>
      </c>
      <c r="Z12" s="10">
        <v>54.48</v>
      </c>
      <c r="AA12" s="10">
        <v>55.18</v>
      </c>
      <c r="AB12" s="95">
        <v>18617900</v>
      </c>
      <c r="AC12" s="10">
        <v>55.18</v>
      </c>
      <c r="AD12" s="2">
        <f t="shared" si="1"/>
        <v>1.3400000000000034</v>
      </c>
      <c r="AE12" s="138">
        <f t="shared" si="2"/>
        <v>-1.552185548617302E-2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42739</v>
      </c>
      <c r="X13" s="10">
        <v>56.16</v>
      </c>
      <c r="Y13" s="10">
        <v>56.31</v>
      </c>
      <c r="Z13" s="10">
        <v>55.61</v>
      </c>
      <c r="AA13" s="10">
        <v>56.05</v>
      </c>
      <c r="AB13" s="95">
        <v>14993800</v>
      </c>
      <c r="AC13" s="10">
        <v>56.05</v>
      </c>
      <c r="AD13" s="2">
        <f t="shared" si="1"/>
        <v>0.70000000000000284</v>
      </c>
      <c r="AE13" s="138">
        <f t="shared" si="2"/>
        <v>8.9285714285702866E-4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42738</v>
      </c>
      <c r="X14" s="10">
        <v>55.67</v>
      </c>
      <c r="Y14" s="10">
        <v>56.35</v>
      </c>
      <c r="Z14" s="10">
        <v>55.46</v>
      </c>
      <c r="AA14" s="10">
        <v>56</v>
      </c>
      <c r="AB14" s="95">
        <v>21960100</v>
      </c>
      <c r="AC14" s="10">
        <v>56</v>
      </c>
      <c r="AD14" s="2">
        <f t="shared" si="1"/>
        <v>0.89000000000000057</v>
      </c>
      <c r="AE14" s="138">
        <f t="shared" si="2"/>
        <v>1.6149519143531021E-2</v>
      </c>
    </row>
    <row r="15" spans="1:40" x14ac:dyDescent="0.25">
      <c r="H15" s="72"/>
      <c r="W15" s="94">
        <v>42734</v>
      </c>
      <c r="X15" s="10">
        <v>54.89</v>
      </c>
      <c r="Y15" s="10">
        <v>55.36</v>
      </c>
      <c r="Z15" s="10">
        <v>54.79</v>
      </c>
      <c r="AA15" s="10">
        <v>55.11</v>
      </c>
      <c r="AB15" s="95">
        <v>15039100</v>
      </c>
      <c r="AC15" s="10">
        <v>55.11</v>
      </c>
      <c r="AD15" s="2">
        <f t="shared" si="1"/>
        <v>0.57000000000000028</v>
      </c>
      <c r="AE15" s="138">
        <f t="shared" si="2"/>
        <v>4.9234135667395318E-3</v>
      </c>
      <c r="AK15" s="234"/>
      <c r="AN15" s="234"/>
    </row>
    <row r="16" spans="1:40" x14ac:dyDescent="0.25">
      <c r="H16" s="72"/>
      <c r="W16" s="94">
        <v>42733</v>
      </c>
      <c r="X16" s="10">
        <v>55.19</v>
      </c>
      <c r="Y16" s="10">
        <v>55.46</v>
      </c>
      <c r="Z16" s="10">
        <v>54.48</v>
      </c>
      <c r="AA16" s="10">
        <v>54.84</v>
      </c>
      <c r="AB16" s="95">
        <v>15794100</v>
      </c>
      <c r="AC16" s="10">
        <v>54.84</v>
      </c>
      <c r="AD16" s="2">
        <f t="shared" si="1"/>
        <v>0.98000000000000398</v>
      </c>
      <c r="AE16" s="138">
        <f t="shared" si="2"/>
        <v>-8.6767895878524515E-3</v>
      </c>
    </row>
    <row r="17" spans="1:40" x14ac:dyDescent="0.25">
      <c r="H17" s="72"/>
      <c r="W17" s="94">
        <v>42732</v>
      </c>
      <c r="X17" s="10">
        <v>55.98</v>
      </c>
      <c r="Y17" s="10">
        <v>56.08</v>
      </c>
      <c r="Z17" s="10">
        <v>55.27</v>
      </c>
      <c r="AA17" s="10">
        <v>55.32</v>
      </c>
      <c r="AB17" s="95">
        <v>10311800</v>
      </c>
      <c r="AC17" s="10">
        <v>55.32</v>
      </c>
      <c r="AD17" s="2">
        <f t="shared" si="1"/>
        <v>0.80999999999999517</v>
      </c>
      <c r="AE17" s="138">
        <f t="shared" si="2"/>
        <v>-1.1260053619303045E-2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42731</v>
      </c>
      <c r="X18" s="10">
        <v>55.9</v>
      </c>
      <c r="Y18" s="10">
        <v>56.1</v>
      </c>
      <c r="Z18" s="10">
        <v>55.84</v>
      </c>
      <c r="AA18" s="10">
        <v>55.95</v>
      </c>
      <c r="AB18" s="95">
        <v>8855100</v>
      </c>
      <c r="AC18" s="10">
        <v>55.95</v>
      </c>
      <c r="AD18" s="2">
        <f t="shared" si="1"/>
        <v>0.25999999999999801</v>
      </c>
      <c r="AE18" s="138">
        <f t="shared" si="2"/>
        <v>-1.7869907076484282E-4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42727</v>
      </c>
      <c r="X19" s="10">
        <v>55.78</v>
      </c>
      <c r="Y19" s="10">
        <v>55.98</v>
      </c>
      <c r="Z19" s="10">
        <v>55.62</v>
      </c>
      <c r="AA19" s="10">
        <v>55.96</v>
      </c>
      <c r="AB19" s="95">
        <v>8282900</v>
      </c>
      <c r="AC19" s="10">
        <v>55.96</v>
      </c>
      <c r="AD19" s="2">
        <f t="shared" si="1"/>
        <v>0.35999999999999943</v>
      </c>
      <c r="AE19" s="138">
        <f t="shared" si="2"/>
        <v>3.7668161434978309E-3</v>
      </c>
      <c r="AK19" s="234"/>
      <c r="AN19" s="234"/>
    </row>
    <row r="20" spans="1:40" x14ac:dyDescent="0.25">
      <c r="W20" s="94">
        <v>42726</v>
      </c>
      <c r="X20" s="10">
        <v>55.76</v>
      </c>
      <c r="Y20" s="10">
        <v>56.03</v>
      </c>
      <c r="Z20" s="10">
        <v>55.5</v>
      </c>
      <c r="AA20" s="10">
        <v>55.75</v>
      </c>
      <c r="AB20" s="95">
        <v>14499500</v>
      </c>
      <c r="AC20" s="10">
        <v>55.75</v>
      </c>
      <c r="AD20" s="2">
        <f t="shared" si="1"/>
        <v>0.53000000000000114</v>
      </c>
      <c r="AE20" s="138">
        <f t="shared" si="2"/>
        <v>7.1800394902177267E-4</v>
      </c>
    </row>
    <row r="21" spans="1:40" x14ac:dyDescent="0.25">
      <c r="W21" s="94">
        <v>42725</v>
      </c>
      <c r="X21" s="10">
        <v>56.09</v>
      </c>
      <c r="Y21" s="10">
        <v>56.09</v>
      </c>
      <c r="Z21" s="10">
        <v>55.64</v>
      </c>
      <c r="AA21" s="10">
        <v>55.71</v>
      </c>
      <c r="AB21" s="95">
        <v>14013100</v>
      </c>
      <c r="AC21" s="10">
        <v>55.71</v>
      </c>
      <c r="AD21" s="2">
        <f t="shared" si="1"/>
        <v>0.45000000000000284</v>
      </c>
      <c r="AE21" s="138">
        <f t="shared" si="2"/>
        <v>-6.9518716577540163E-3</v>
      </c>
      <c r="AK21" s="234"/>
      <c r="AN21" s="234"/>
    </row>
    <row r="22" spans="1:40" x14ac:dyDescent="0.25">
      <c r="W22" s="94">
        <v>42724</v>
      </c>
      <c r="X22" s="10">
        <v>55.47</v>
      </c>
      <c r="Y22" s="10">
        <v>56.32</v>
      </c>
      <c r="Z22" s="10">
        <v>55.15</v>
      </c>
      <c r="AA22" s="10">
        <v>56.1</v>
      </c>
      <c r="AB22" s="95">
        <v>18798700</v>
      </c>
      <c r="AC22" s="10">
        <v>56.1</v>
      </c>
      <c r="AD22" s="2">
        <f t="shared" si="1"/>
        <v>1.1700000000000017</v>
      </c>
      <c r="AE22" s="138">
        <f t="shared" si="2"/>
        <v>1.5936254980079667E-2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42723</v>
      </c>
      <c r="X23" s="10">
        <v>55.18</v>
      </c>
      <c r="Y23" s="10">
        <v>55.47</v>
      </c>
      <c r="Z23" s="10">
        <v>54.65</v>
      </c>
      <c r="AA23" s="10">
        <v>55.22</v>
      </c>
      <c r="AB23" s="95">
        <v>16552500</v>
      </c>
      <c r="AC23" s="10">
        <v>55.22</v>
      </c>
      <c r="AD23" s="2">
        <f t="shared" si="1"/>
        <v>0.82000000000000028</v>
      </c>
      <c r="AE23" s="138">
        <f t="shared" si="2"/>
        <v>-2.1684134441634084E-3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42720</v>
      </c>
      <c r="X24" s="10">
        <v>55.49</v>
      </c>
      <c r="Y24" s="10">
        <v>55.65</v>
      </c>
      <c r="Z24" s="10">
        <v>54.92</v>
      </c>
      <c r="AA24" s="10">
        <v>55.34</v>
      </c>
      <c r="AB24" s="95">
        <v>32767100</v>
      </c>
      <c r="AC24" s="10">
        <v>55.34</v>
      </c>
      <c r="AD24" s="2">
        <f t="shared" si="1"/>
        <v>0.72999999999999687</v>
      </c>
      <c r="AE24" s="138">
        <f t="shared" si="2"/>
        <v>2.7178836745789248E-3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42719</v>
      </c>
      <c r="X25" s="10">
        <v>55.17</v>
      </c>
      <c r="Y25" s="10">
        <v>56.25</v>
      </c>
      <c r="Z25" s="10">
        <v>54.9</v>
      </c>
      <c r="AA25" s="10">
        <v>55.19</v>
      </c>
      <c r="AB25" s="95">
        <v>31213700</v>
      </c>
      <c r="AC25" s="10">
        <v>55.19</v>
      </c>
      <c r="AD25" s="2">
        <f t="shared" si="1"/>
        <v>1.3500000000000014</v>
      </c>
      <c r="AE25" s="138">
        <f t="shared" si="2"/>
        <v>8.9579524680072353E-3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42718</v>
      </c>
      <c r="X26" s="10">
        <v>54.74</v>
      </c>
      <c r="Y26" s="10">
        <v>55.62</v>
      </c>
      <c r="Z26" s="10">
        <v>54.03</v>
      </c>
      <c r="AA26" s="10">
        <v>54.7</v>
      </c>
      <c r="AB26" s="95">
        <v>53760000</v>
      </c>
      <c r="AC26" s="10">
        <v>54.7</v>
      </c>
      <c r="AD26" s="2">
        <f t="shared" si="1"/>
        <v>1.5899999999999963</v>
      </c>
      <c r="AE26" s="138">
        <f t="shared" si="2"/>
        <v>-2.0415472779369614E-2</v>
      </c>
    </row>
    <row r="27" spans="1:40" x14ac:dyDescent="0.25">
      <c r="A27" t="s">
        <v>461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" si="12">C27*(E27-D27)</f>
        <v>-0.80400000000025784</v>
      </c>
      <c r="G27" s="40">
        <f t="shared" ref="G27" si="13">D27*C27</f>
        <v>6550.4040000000005</v>
      </c>
      <c r="H27" s="231">
        <f t="shared" ref="H27" si="14">(E27-D27)/D27</f>
        <v>-1.2274052104271094E-4</v>
      </c>
      <c r="I27" s="40"/>
      <c r="W27" s="94">
        <v>42717</v>
      </c>
      <c r="X27" s="10">
        <v>55.85</v>
      </c>
      <c r="Y27" s="10">
        <v>56.21</v>
      </c>
      <c r="Z27" s="10">
        <v>55.29</v>
      </c>
      <c r="AA27" s="10">
        <v>55.84</v>
      </c>
      <c r="AB27" s="95">
        <v>23860800</v>
      </c>
      <c r="AC27" s="10">
        <v>55.84</v>
      </c>
      <c r="AD27" s="2">
        <f t="shared" si="1"/>
        <v>0.92000000000000171</v>
      </c>
      <c r="AE27" s="138">
        <f t="shared" si="2"/>
        <v>1.0756543564001131E-3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42716</v>
      </c>
      <c r="X28" s="10">
        <v>56.5</v>
      </c>
      <c r="Y28" s="10">
        <v>57.1</v>
      </c>
      <c r="Z28" s="10">
        <v>55.55</v>
      </c>
      <c r="AA28" s="10">
        <v>55.78</v>
      </c>
      <c r="AB28" s="95">
        <v>27589700</v>
      </c>
      <c r="AC28" s="10">
        <v>55.78</v>
      </c>
      <c r="AD28" s="2">
        <f t="shared" si="1"/>
        <v>1.5500000000000043</v>
      </c>
      <c r="AE28" s="138">
        <f t="shared" si="2"/>
        <v>-2.3801190059502986E-2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42713</v>
      </c>
      <c r="X29" s="10">
        <v>56.91</v>
      </c>
      <c r="Y29" s="10">
        <v>57.24</v>
      </c>
      <c r="Z29" s="10">
        <v>56.49</v>
      </c>
      <c r="AA29" s="10">
        <v>57.14</v>
      </c>
      <c r="AB29" s="95">
        <v>20313400</v>
      </c>
      <c r="AC29" s="10">
        <v>57.14</v>
      </c>
      <c r="AD29" s="2">
        <f t="shared" si="1"/>
        <v>0.75</v>
      </c>
      <c r="AE29" s="138">
        <f t="shared" si="2"/>
        <v>-2.6182579856868227E-3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42712</v>
      </c>
      <c r="X30" s="10">
        <v>57.29</v>
      </c>
      <c r="Y30" s="10">
        <v>58.02</v>
      </c>
      <c r="Z30" s="10">
        <v>56.71</v>
      </c>
      <c r="AA30" s="10">
        <v>57.29</v>
      </c>
      <c r="AB30" s="95">
        <v>39770400</v>
      </c>
      <c r="AC30" s="10">
        <v>57.29</v>
      </c>
      <c r="AD30" s="2">
        <f t="shared" si="1"/>
        <v>1.3100000000000023</v>
      </c>
      <c r="AE30" s="138">
        <f t="shared" si="2"/>
        <v>1.7458100558664924E-4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42711</v>
      </c>
      <c r="X31" s="10">
        <v>55.55</v>
      </c>
      <c r="Y31" s="10">
        <v>57.29</v>
      </c>
      <c r="Z31" s="10">
        <v>55.23</v>
      </c>
      <c r="AA31" s="10">
        <v>57.28</v>
      </c>
      <c r="AB31" s="95">
        <v>45989600</v>
      </c>
      <c r="AC31" s="10">
        <v>57.28</v>
      </c>
      <c r="AD31" s="2">
        <f t="shared" si="1"/>
        <v>2.0600000000000023</v>
      </c>
      <c r="AE31" s="138">
        <f t="shared" si="2"/>
        <v>3.114311431143113E-2</v>
      </c>
    </row>
    <row r="32" spans="1:40" x14ac:dyDescent="0.25">
      <c r="W32" s="94">
        <v>42710</v>
      </c>
      <c r="X32" s="10">
        <v>54.45</v>
      </c>
      <c r="Y32" s="10">
        <v>55.57</v>
      </c>
      <c r="Z32" s="10">
        <v>54.22</v>
      </c>
      <c r="AA32" s="10">
        <v>55.55</v>
      </c>
      <c r="AB32" s="95">
        <v>30206800</v>
      </c>
      <c r="AC32" s="10">
        <v>55.55</v>
      </c>
      <c r="AD32" s="2">
        <f t="shared" si="1"/>
        <v>1.3500000000000014</v>
      </c>
      <c r="AE32" s="138">
        <f t="shared" si="2"/>
        <v>2.2079116835326484E-2</v>
      </c>
    </row>
    <row r="33" spans="2:31" x14ac:dyDescent="0.25">
      <c r="W33" s="94">
        <v>42709</v>
      </c>
      <c r="X33" s="10">
        <v>53.9</v>
      </c>
      <c r="Y33" s="10">
        <v>54.53</v>
      </c>
      <c r="Z33" s="10">
        <v>53.87</v>
      </c>
      <c r="AA33" s="10">
        <v>54.35</v>
      </c>
      <c r="AB33" s="95">
        <v>23858600</v>
      </c>
      <c r="AC33" s="10">
        <v>54.35</v>
      </c>
      <c r="AD33" s="2">
        <f t="shared" si="1"/>
        <v>0.66000000000000369</v>
      </c>
      <c r="AE33" s="138">
        <f t="shared" si="2"/>
        <v>1.4371033967898628E-2</v>
      </c>
    </row>
    <row r="34" spans="2:31" x14ac:dyDescent="0.25">
      <c r="W34" s="94">
        <v>42706</v>
      </c>
      <c r="X34" s="10">
        <v>54.24</v>
      </c>
      <c r="Y34" s="10">
        <v>54.27</v>
      </c>
      <c r="Z34" s="10">
        <v>53.31</v>
      </c>
      <c r="AA34" s="10">
        <v>53.58</v>
      </c>
      <c r="AB34" s="95">
        <v>21538000</v>
      </c>
      <c r="AC34" s="10">
        <v>53.58</v>
      </c>
      <c r="AD34" s="2">
        <f t="shared" si="1"/>
        <v>0.96000000000000085</v>
      </c>
      <c r="AE34" s="138">
        <f t="shared" si="2"/>
        <v>-1.3986013986014068E-2</v>
      </c>
    </row>
    <row r="35" spans="2:31" x14ac:dyDescent="0.25">
      <c r="W35" s="94">
        <v>42705</v>
      </c>
      <c r="X35" s="10">
        <v>53.13</v>
      </c>
      <c r="Y35" s="10">
        <v>54.47</v>
      </c>
      <c r="Z35" s="10">
        <v>53.06</v>
      </c>
      <c r="AA35" s="10">
        <v>54.34</v>
      </c>
      <c r="AB35" s="95">
        <v>35512200</v>
      </c>
      <c r="AC35" s="10">
        <v>54.34</v>
      </c>
      <c r="AD35" s="2">
        <f t="shared" si="1"/>
        <v>1.4099999999999966</v>
      </c>
      <c r="AE35" s="138">
        <f t="shared" si="2"/>
        <v>2.6832955404384018E-2</v>
      </c>
    </row>
    <row r="36" spans="2:31" x14ac:dyDescent="0.25">
      <c r="W36" s="94">
        <v>42704</v>
      </c>
      <c r="X36" s="10">
        <v>52.48</v>
      </c>
      <c r="Y36" s="10">
        <v>53.16</v>
      </c>
      <c r="Z36" s="10">
        <v>52.3</v>
      </c>
      <c r="AA36" s="10">
        <v>52.92</v>
      </c>
      <c r="AB36" s="95">
        <v>26338100</v>
      </c>
      <c r="AC36" s="10">
        <v>52.92</v>
      </c>
      <c r="AD36" s="2">
        <f t="shared" si="1"/>
        <v>0.85999999999999943</v>
      </c>
      <c r="AE36" s="138">
        <f t="shared" si="2"/>
        <v>2.0439645198611744E-2</v>
      </c>
    </row>
    <row r="37" spans="2:31" x14ac:dyDescent="0.25">
      <c r="W37" s="94">
        <v>42703</v>
      </c>
      <c r="X37" s="10">
        <v>51.56</v>
      </c>
      <c r="Y37" s="10">
        <v>52.13</v>
      </c>
      <c r="Z37" s="10">
        <v>51.56</v>
      </c>
      <c r="AA37" s="10">
        <v>51.86</v>
      </c>
      <c r="AB37" s="95">
        <v>16097000</v>
      </c>
      <c r="AC37" s="10">
        <v>51.86</v>
      </c>
      <c r="AD37" s="2">
        <f t="shared" si="1"/>
        <v>0.57000000000000028</v>
      </c>
      <c r="AE37" s="138">
        <f t="shared" si="2"/>
        <v>5.4284606436603156E-3</v>
      </c>
    </row>
    <row r="38" spans="2:31" x14ac:dyDescent="0.25">
      <c r="W38" s="94">
        <v>42702</v>
      </c>
      <c r="X38" s="10">
        <v>52.12</v>
      </c>
      <c r="Y38" s="10">
        <v>52.48</v>
      </c>
      <c r="Z38" s="10">
        <v>51.39</v>
      </c>
      <c r="AA38" s="10">
        <v>51.58</v>
      </c>
      <c r="AB38" s="95">
        <v>25832600</v>
      </c>
      <c r="AC38" s="10">
        <v>51.58</v>
      </c>
      <c r="AD38" s="2">
        <f t="shared" si="1"/>
        <v>1.0899999999999963</v>
      </c>
      <c r="AE38" s="138">
        <f t="shared" si="2"/>
        <v>-1.9764348156594447E-2</v>
      </c>
    </row>
    <row r="39" spans="2:31" ht="20.25" thickBot="1" x14ac:dyDescent="0.35">
      <c r="O39" s="11"/>
      <c r="P39" s="632" t="s">
        <v>78</v>
      </c>
      <c r="Q39" s="632"/>
      <c r="R39" s="34"/>
      <c r="W39" s="94">
        <v>42699</v>
      </c>
      <c r="X39" s="10">
        <v>52.4</v>
      </c>
      <c r="Y39" s="10">
        <v>52.62</v>
      </c>
      <c r="Z39" s="10">
        <v>52.04</v>
      </c>
      <c r="AA39" s="10">
        <v>52.62</v>
      </c>
      <c r="AB39" s="95">
        <v>9635500</v>
      </c>
      <c r="AC39" s="10">
        <v>52.62</v>
      </c>
      <c r="AD39" s="2">
        <f t="shared" si="1"/>
        <v>0.57999999999999829</v>
      </c>
      <c r="AE39" s="138">
        <f t="shared" si="2"/>
        <v>8.8190184049079523E-3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60.577000000000005</v>
      </c>
      <c r="R40" s="34"/>
      <c r="W40" s="94">
        <v>42697</v>
      </c>
      <c r="X40" s="10">
        <v>52.45</v>
      </c>
      <c r="Y40" s="10">
        <v>52.63</v>
      </c>
      <c r="Z40" s="10">
        <v>51.95</v>
      </c>
      <c r="AA40" s="10">
        <v>52.16</v>
      </c>
      <c r="AB40" s="95">
        <v>19986800</v>
      </c>
      <c r="AC40" s="10">
        <v>52.16</v>
      </c>
      <c r="AD40" s="2">
        <f t="shared" si="1"/>
        <v>0.67999999999999972</v>
      </c>
      <c r="AE40" s="138">
        <f t="shared" si="2"/>
        <v>-1.1489850631942744E-3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5">C41*(E41-D41)</f>
        <v>-4.0000000000000568</v>
      </c>
      <c r="G41" s="382">
        <f t="shared" ref="G41:G63" si="16">D41*C41</f>
        <v>2020</v>
      </c>
      <c r="H41" s="383">
        <f t="shared" ref="H41:H63" si="17">(E41-D41)/D41</f>
        <v>-1.9801980198020084E-3</v>
      </c>
      <c r="I41" s="382"/>
      <c r="O41" s="2"/>
      <c r="P41" s="83">
        <v>1.0900000000000001</v>
      </c>
      <c r="Q41" s="83">
        <f t="shared" ref="Q41:Q60" si="18">P41*$Q$4</f>
        <v>60.026300000000006</v>
      </c>
      <c r="R41" s="34"/>
      <c r="W41" s="94">
        <v>42696</v>
      </c>
      <c r="X41" s="10">
        <v>52.43</v>
      </c>
      <c r="Y41" s="10">
        <v>52.58</v>
      </c>
      <c r="Z41" s="10">
        <v>51.81</v>
      </c>
      <c r="AA41" s="10">
        <v>52.22</v>
      </c>
      <c r="AB41" s="95">
        <v>22711800</v>
      </c>
      <c r="AC41" s="10">
        <v>52.22</v>
      </c>
      <c r="AD41" s="2">
        <f t="shared" si="1"/>
        <v>0.76999999999999602</v>
      </c>
      <c r="AE41" s="138">
        <f t="shared" si="2"/>
        <v>1.9186492709133418E-3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5"/>
        <v>-115.99999999999994</v>
      </c>
      <c r="G42" s="382">
        <f t="shared" si="16"/>
        <v>2020</v>
      </c>
      <c r="H42" s="383">
        <f t="shared" si="17"/>
        <v>-5.74257425742574E-2</v>
      </c>
      <c r="I42" s="382"/>
      <c r="O42" s="2"/>
      <c r="P42" s="83">
        <v>1.08</v>
      </c>
      <c r="Q42" s="83">
        <f t="shared" si="18"/>
        <v>59.475600000000007</v>
      </c>
      <c r="R42" s="34"/>
      <c r="T42" s="91" t="s">
        <v>113</v>
      </c>
      <c r="W42" s="94">
        <v>42695</v>
      </c>
      <c r="X42" s="10">
        <v>52.85</v>
      </c>
      <c r="Y42" s="10">
        <v>52.98</v>
      </c>
      <c r="Z42" s="10">
        <v>52.02</v>
      </c>
      <c r="AA42" s="10">
        <v>52.12</v>
      </c>
      <c r="AB42" s="95">
        <v>23250400</v>
      </c>
      <c r="AC42" s="10">
        <v>52.12</v>
      </c>
      <c r="AD42" s="2">
        <f t="shared" si="1"/>
        <v>0.95999999999999375</v>
      </c>
      <c r="AE42" s="138">
        <f t="shared" si="2"/>
        <v>-1.3252555850056802E-2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5"/>
        <v>-56.200000000000045</v>
      </c>
      <c r="G43" s="382">
        <f t="shared" si="16"/>
        <v>2005</v>
      </c>
      <c r="H43" s="383">
        <f t="shared" si="17"/>
        <v>-2.8029925187032442E-2</v>
      </c>
      <c r="I43" s="382" t="s">
        <v>187</v>
      </c>
      <c r="O43" s="2"/>
      <c r="P43" s="83">
        <v>1.07</v>
      </c>
      <c r="Q43" s="83">
        <f t="shared" si="18"/>
        <v>58.924900000000001</v>
      </c>
      <c r="R43" s="83"/>
      <c r="T43" s="97" t="s">
        <v>98</v>
      </c>
      <c r="U43" s="98">
        <v>54.58</v>
      </c>
      <c r="W43" s="94">
        <v>42692</v>
      </c>
      <c r="X43" s="10">
        <v>52.45</v>
      </c>
      <c r="Y43" s="10">
        <v>52.98</v>
      </c>
      <c r="Z43" s="10">
        <v>51.99</v>
      </c>
      <c r="AA43" s="10">
        <v>52.82</v>
      </c>
      <c r="AB43" s="95">
        <v>29403800</v>
      </c>
      <c r="AC43" s="10">
        <v>52.82</v>
      </c>
      <c r="AD43" s="2">
        <f t="shared" si="1"/>
        <v>0.98999999999999488</v>
      </c>
      <c r="AE43" s="138">
        <f t="shared" si="2"/>
        <v>6.2869117927224494E-3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5"/>
        <v>-22.199999999999989</v>
      </c>
      <c r="G44" s="382">
        <f t="shared" si="16"/>
        <v>2005</v>
      </c>
      <c r="H44" s="383">
        <f t="shared" si="17"/>
        <v>-1.1072319201995006E-2</v>
      </c>
      <c r="I44" s="382"/>
      <c r="O44" s="2"/>
      <c r="P44" s="83">
        <v>1.06</v>
      </c>
      <c r="Q44" s="83">
        <f t="shared" si="18"/>
        <v>58.374200000000002</v>
      </c>
      <c r="R44" s="83"/>
      <c r="T44" s="87" t="s">
        <v>99</v>
      </c>
      <c r="U44" s="88">
        <v>54.75</v>
      </c>
      <c r="W44" s="94">
        <v>42691</v>
      </c>
      <c r="X44" s="10">
        <v>51.39</v>
      </c>
      <c r="Y44" s="10">
        <v>52.9</v>
      </c>
      <c r="Z44" s="10">
        <v>50.96</v>
      </c>
      <c r="AA44" s="10">
        <v>52.49</v>
      </c>
      <c r="AB44" s="95">
        <v>29128600</v>
      </c>
      <c r="AC44" s="10">
        <v>52.49</v>
      </c>
      <c r="AD44" s="2">
        <f t="shared" si="1"/>
        <v>1.9399999999999977</v>
      </c>
      <c r="AE44" s="138">
        <f t="shared" si="2"/>
        <v>1.567337461300311E-2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5"/>
        <v>-53.400000000000034</v>
      </c>
      <c r="G45" s="382">
        <f t="shared" si="16"/>
        <v>2005</v>
      </c>
      <c r="H45" s="383">
        <f t="shared" si="17"/>
        <v>-2.6633416458852886E-2</v>
      </c>
      <c r="I45" s="382"/>
      <c r="O45" s="2"/>
      <c r="P45" s="83">
        <v>1.05</v>
      </c>
      <c r="Q45" s="83">
        <f t="shared" si="18"/>
        <v>57.823500000000003</v>
      </c>
      <c r="R45" s="83"/>
      <c r="T45" s="87" t="s">
        <v>100</v>
      </c>
      <c r="U45" s="88" t="s">
        <v>129</v>
      </c>
      <c r="W45" s="94">
        <v>42690</v>
      </c>
      <c r="X45" s="10">
        <v>51.79</v>
      </c>
      <c r="Y45" s="10">
        <v>52.17</v>
      </c>
      <c r="Z45" s="10">
        <v>51.36</v>
      </c>
      <c r="AA45" s="10">
        <v>51.68</v>
      </c>
      <c r="AB45" s="95">
        <v>26774300</v>
      </c>
      <c r="AC45" s="10">
        <v>51.68</v>
      </c>
      <c r="AD45" s="2">
        <f t="shared" si="1"/>
        <v>0.81000000000000227</v>
      </c>
      <c r="AE45" s="138">
        <f t="shared" si="2"/>
        <v>-1.7303669899220497E-2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5"/>
        <v>-5.8000000000001251</v>
      </c>
      <c r="G46" s="382">
        <f t="shared" si="16"/>
        <v>2005</v>
      </c>
      <c r="H46" s="383">
        <f t="shared" si="17"/>
        <v>-2.8927680798005611E-3</v>
      </c>
      <c r="I46" s="382"/>
      <c r="O46" s="2"/>
      <c r="P46" s="83">
        <v>1.04</v>
      </c>
      <c r="Q46" s="83">
        <f t="shared" si="18"/>
        <v>57.272800000000004</v>
      </c>
      <c r="R46" s="83"/>
      <c r="T46" s="87" t="s">
        <v>101</v>
      </c>
      <c r="U46" s="88" t="s">
        <v>129</v>
      </c>
      <c r="W46" s="94">
        <v>42689</v>
      </c>
      <c r="X46" s="10">
        <v>52.38</v>
      </c>
      <c r="Y46" s="10">
        <v>52.59</v>
      </c>
      <c r="Z46" s="10">
        <v>51.54</v>
      </c>
      <c r="AA46" s="10">
        <v>52.59</v>
      </c>
      <c r="AB46" s="95">
        <v>39149400</v>
      </c>
      <c r="AC46" s="10">
        <v>52.59</v>
      </c>
      <c r="AD46" s="2">
        <f t="shared" si="1"/>
        <v>1.0500000000000043</v>
      </c>
      <c r="AE46" s="138">
        <f t="shared" si="2"/>
        <v>-1.1837655016910809E-2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5"/>
        <v>-53.799999999999955</v>
      </c>
      <c r="G47" s="382">
        <f t="shared" si="16"/>
        <v>3900.2</v>
      </c>
      <c r="H47" s="383">
        <f t="shared" si="17"/>
        <v>-1.3794164401825536E-2</v>
      </c>
      <c r="I47" s="382"/>
      <c r="O47" s="2"/>
      <c r="P47" s="83">
        <v>1.03</v>
      </c>
      <c r="Q47" s="83">
        <f t="shared" si="18"/>
        <v>56.722100000000005</v>
      </c>
      <c r="R47" s="83"/>
      <c r="T47" s="87" t="s">
        <v>102</v>
      </c>
      <c r="U47" s="88">
        <v>57.9</v>
      </c>
      <c r="W47" s="94">
        <v>42688</v>
      </c>
      <c r="X47" s="10">
        <v>51.91</v>
      </c>
      <c r="Y47" s="10">
        <v>54.06</v>
      </c>
      <c r="Z47" s="10">
        <v>51.91</v>
      </c>
      <c r="AA47" s="10">
        <v>53.22</v>
      </c>
      <c r="AB47" s="95">
        <v>58839400</v>
      </c>
      <c r="AC47" s="10">
        <v>53.22</v>
      </c>
      <c r="AD47" s="2">
        <f t="shared" si="1"/>
        <v>2.1500000000000057</v>
      </c>
      <c r="AE47" s="138">
        <f t="shared" si="2"/>
        <v>2.8803402281074808E-2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5"/>
        <v>-134.5999999999998</v>
      </c>
      <c r="G48" s="382">
        <f t="shared" si="16"/>
        <v>3900.2</v>
      </c>
      <c r="H48" s="383">
        <f t="shared" si="17"/>
        <v>-3.451105071534788E-2</v>
      </c>
      <c r="I48" s="382"/>
      <c r="O48" s="2"/>
      <c r="P48" s="83">
        <v>1.02</v>
      </c>
      <c r="Q48" s="83">
        <f t="shared" si="18"/>
        <v>56.171399999999998</v>
      </c>
      <c r="R48" s="83"/>
      <c r="T48" s="87" t="s">
        <v>103</v>
      </c>
      <c r="U48" s="88">
        <v>0.96955000000000002</v>
      </c>
      <c r="W48" s="94">
        <v>42685</v>
      </c>
      <c r="X48" s="10">
        <v>51.09</v>
      </c>
      <c r="Y48" s="10">
        <v>51.99</v>
      </c>
      <c r="Z48" s="10">
        <v>50.73</v>
      </c>
      <c r="AA48" s="10">
        <v>51.73</v>
      </c>
      <c r="AB48" s="95">
        <v>46558300</v>
      </c>
      <c r="AC48" s="10">
        <v>51.73</v>
      </c>
      <c r="AD48" s="2">
        <f t="shared" si="1"/>
        <v>1.2600000000000051</v>
      </c>
      <c r="AE48" s="138">
        <f t="shared" si="2"/>
        <v>1.9368584156496116E-3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5"/>
        <v>17.360000000000184</v>
      </c>
      <c r="G49" s="382">
        <f t="shared" si="16"/>
        <v>1943.84</v>
      </c>
      <c r="H49" s="383">
        <f t="shared" si="17"/>
        <v>8.9307761955717477E-3</v>
      </c>
      <c r="I49" s="382"/>
      <c r="O49" s="2"/>
      <c r="P49" s="83">
        <v>1.01</v>
      </c>
      <c r="Q49" s="83">
        <f t="shared" si="18"/>
        <v>55.620699999999999</v>
      </c>
      <c r="R49" s="83"/>
      <c r="T49" s="87" t="s">
        <v>104</v>
      </c>
      <c r="U49" s="89" t="s">
        <v>436</v>
      </c>
      <c r="W49" s="94">
        <v>42684</v>
      </c>
      <c r="X49" s="10">
        <v>48.93</v>
      </c>
      <c r="Y49" s="10">
        <v>51.93</v>
      </c>
      <c r="Z49" s="10">
        <v>48.79</v>
      </c>
      <c r="AA49" s="10">
        <v>51.63</v>
      </c>
      <c r="AB49" s="95">
        <v>100976300</v>
      </c>
      <c r="AC49" s="10">
        <v>51.63</v>
      </c>
      <c r="AD49" s="2">
        <f t="shared" si="1"/>
        <v>3.1400000000000006</v>
      </c>
      <c r="AE49" s="138">
        <f t="shared" si="2"/>
        <v>7.5849135236507603E-2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5"/>
        <v>17.3599999999999</v>
      </c>
      <c r="G50" s="382">
        <f t="shared" si="16"/>
        <v>3885.84</v>
      </c>
      <c r="H50" s="383">
        <f t="shared" si="17"/>
        <v>4.4675025219772044E-3</v>
      </c>
      <c r="I50" s="382"/>
      <c r="O50" s="2"/>
      <c r="P50" s="83">
        <v>1</v>
      </c>
      <c r="Q50" s="83">
        <f t="shared" si="18"/>
        <v>55.07</v>
      </c>
      <c r="R50" s="83"/>
      <c r="T50" s="87"/>
      <c r="U50" s="88"/>
      <c r="W50" s="94">
        <v>42683</v>
      </c>
      <c r="X50" s="10">
        <v>46.33</v>
      </c>
      <c r="Y50" s="10">
        <v>48.61</v>
      </c>
      <c r="Z50" s="10">
        <v>46</v>
      </c>
      <c r="AA50" s="10">
        <v>47.99</v>
      </c>
      <c r="AB50" s="95">
        <v>67401300</v>
      </c>
      <c r="AC50" s="10">
        <v>47.99</v>
      </c>
      <c r="AD50" s="2">
        <f t="shared" si="1"/>
        <v>2.6099999999999994</v>
      </c>
      <c r="AE50" s="138">
        <f t="shared" si="2"/>
        <v>5.3798858146684392E-2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5"/>
        <v>163.75999999999976</v>
      </c>
      <c r="G51" s="382">
        <f t="shared" si="16"/>
        <v>3885.84</v>
      </c>
      <c r="H51" s="383">
        <f t="shared" si="17"/>
        <v>4.214275420501095E-2</v>
      </c>
      <c r="I51" s="382"/>
      <c r="O51" s="2"/>
      <c r="P51" s="83">
        <v>0.99</v>
      </c>
      <c r="Q51" s="83">
        <f t="shared" si="18"/>
        <v>54.519300000000001</v>
      </c>
      <c r="R51" s="83"/>
      <c r="T51" s="87" t="s">
        <v>105</v>
      </c>
      <c r="U51" s="88" t="s">
        <v>550</v>
      </c>
      <c r="W51" s="94">
        <v>42682</v>
      </c>
      <c r="X51" s="10">
        <v>45.18</v>
      </c>
      <c r="Y51" s="10">
        <v>45.82</v>
      </c>
      <c r="Z51" s="10">
        <v>44.87</v>
      </c>
      <c r="AA51" s="10">
        <v>45.54</v>
      </c>
      <c r="AB51" s="95">
        <v>19406700</v>
      </c>
      <c r="AC51" s="10">
        <v>45.54</v>
      </c>
      <c r="AD51" s="2">
        <f t="shared" si="1"/>
        <v>0.95000000000000284</v>
      </c>
      <c r="AE51" s="138">
        <f t="shared" si="2"/>
        <v>3.0837004405286361E-3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5"/>
        <v>189.72000000000008</v>
      </c>
      <c r="G52" s="382">
        <f t="shared" si="16"/>
        <v>1847.08</v>
      </c>
      <c r="H52" s="383">
        <f t="shared" si="17"/>
        <v>0.10271347207484251</v>
      </c>
      <c r="I52" s="382"/>
      <c r="O52" s="2"/>
      <c r="P52" s="83">
        <v>0.98</v>
      </c>
      <c r="Q52" s="83">
        <f t="shared" si="18"/>
        <v>53.968600000000002</v>
      </c>
      <c r="R52" s="83"/>
      <c r="T52" s="87" t="s">
        <v>106</v>
      </c>
      <c r="U52" s="88" t="s">
        <v>363</v>
      </c>
      <c r="W52" s="94">
        <v>42681</v>
      </c>
      <c r="X52" s="10">
        <v>45.22</v>
      </c>
      <c r="Y52" s="10">
        <v>45.69</v>
      </c>
      <c r="Z52" s="10">
        <v>45.21</v>
      </c>
      <c r="AA52" s="10">
        <v>45.4</v>
      </c>
      <c r="AB52" s="95">
        <v>25452200</v>
      </c>
      <c r="AC52" s="10">
        <v>45.4</v>
      </c>
      <c r="AD52" s="2">
        <f t="shared" si="1"/>
        <v>0.47999999999999687</v>
      </c>
      <c r="AE52" s="138">
        <f t="shared" si="2"/>
        <v>1.7937219730941534E-2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5"/>
        <v>150.91999999999985</v>
      </c>
      <c r="G53" s="382">
        <f t="shared" si="16"/>
        <v>3847.48</v>
      </c>
      <c r="H53" s="383">
        <f t="shared" si="17"/>
        <v>3.9225674987264349E-2</v>
      </c>
      <c r="I53" s="382"/>
      <c r="O53" s="2"/>
      <c r="P53" s="83">
        <v>0.97</v>
      </c>
      <c r="Q53" s="83">
        <f t="shared" si="18"/>
        <v>53.417899999999996</v>
      </c>
      <c r="R53" s="83"/>
      <c r="T53" s="87" t="s">
        <v>107</v>
      </c>
      <c r="U53" s="90">
        <v>24160823</v>
      </c>
      <c r="W53" s="94">
        <v>42678</v>
      </c>
      <c r="X53" s="10">
        <v>45.36</v>
      </c>
      <c r="Y53" s="10">
        <v>45.42</v>
      </c>
      <c r="Z53" s="10">
        <v>44.49</v>
      </c>
      <c r="AA53" s="10">
        <v>44.6</v>
      </c>
      <c r="AB53" s="95">
        <v>27219000</v>
      </c>
      <c r="AC53" s="10">
        <v>44.6</v>
      </c>
      <c r="AD53" s="2">
        <f t="shared" si="1"/>
        <v>0.92999999999999972</v>
      </c>
      <c r="AE53" s="138">
        <f t="shared" si="2"/>
        <v>-1.6321129245699173E-2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5"/>
        <v>88.520000000000323</v>
      </c>
      <c r="G54" s="382">
        <f t="shared" si="16"/>
        <v>3847.48</v>
      </c>
      <c r="H54" s="383">
        <f t="shared" si="17"/>
        <v>2.3007267094305967E-2</v>
      </c>
      <c r="I54" s="382"/>
      <c r="O54" s="2"/>
      <c r="P54" s="83">
        <v>0.96</v>
      </c>
      <c r="Q54" s="83">
        <f t="shared" si="18"/>
        <v>52.867199999999997</v>
      </c>
      <c r="R54" s="83"/>
      <c r="T54" s="87" t="s">
        <v>110</v>
      </c>
      <c r="U54" s="90">
        <v>26211800</v>
      </c>
      <c r="W54" s="94">
        <v>42677</v>
      </c>
      <c r="X54" s="10">
        <v>45.33</v>
      </c>
      <c r="Y54" s="10">
        <v>45.79</v>
      </c>
      <c r="Z54" s="10">
        <v>45.25</v>
      </c>
      <c r="AA54" s="10">
        <v>45.34</v>
      </c>
      <c r="AB54" s="95">
        <v>14785100</v>
      </c>
      <c r="AC54" s="10">
        <v>45.34</v>
      </c>
      <c r="AD54" s="2">
        <f t="shared" si="1"/>
        <v>0.53999999999999915</v>
      </c>
      <c r="AE54" s="138">
        <f t="shared" si="2"/>
        <v>2.210433244915988E-3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5"/>
        <v>88.824999999999719</v>
      </c>
      <c r="G55" s="382">
        <f t="shared" si="16"/>
        <v>5293.4750000000004</v>
      </c>
      <c r="H55" s="383">
        <f t="shared" si="17"/>
        <v>1.678009247233617E-2</v>
      </c>
      <c r="I55" s="382"/>
      <c r="O55" s="2"/>
      <c r="P55" s="83">
        <v>0.95</v>
      </c>
      <c r="Q55" s="83">
        <f t="shared" si="18"/>
        <v>52.316499999999998</v>
      </c>
      <c r="R55" s="83"/>
      <c r="T55" s="87" t="s">
        <v>108</v>
      </c>
      <c r="U55" s="88" t="s">
        <v>643</v>
      </c>
      <c r="W55" s="94">
        <v>42676</v>
      </c>
      <c r="X55" s="10">
        <v>45.38</v>
      </c>
      <c r="Y55" s="10">
        <v>45.51</v>
      </c>
      <c r="Z55" s="10">
        <v>45.07</v>
      </c>
      <c r="AA55" s="10">
        <v>45.24</v>
      </c>
      <c r="AB55" s="95">
        <v>19566600</v>
      </c>
      <c r="AC55" s="10">
        <v>45.24</v>
      </c>
      <c r="AD55" s="2">
        <f t="shared" si="1"/>
        <v>0.43999999999999773</v>
      </c>
      <c r="AE55" s="138" t="e">
        <f>AC55/AC56-1</f>
        <v>#DIV/0!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5"/>
        <v>16.170000000000613</v>
      </c>
      <c r="G56" s="382">
        <f t="shared" si="16"/>
        <v>5293.53</v>
      </c>
      <c r="H56" s="383">
        <f t="shared" si="17"/>
        <v>3.0546724019700679E-3</v>
      </c>
      <c r="I56" s="382"/>
      <c r="O56" s="2"/>
      <c r="P56" s="83">
        <v>0.94</v>
      </c>
      <c r="Q56" s="83">
        <f t="shared" si="18"/>
        <v>51.765799999999999</v>
      </c>
      <c r="R56" s="83"/>
      <c r="T56" s="87" t="s">
        <v>111</v>
      </c>
      <c r="U56" s="88">
        <v>13.8</v>
      </c>
      <c r="W56" s="94">
        <v>42676</v>
      </c>
      <c r="X56" s="10" t="s">
        <v>189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5"/>
        <v>-55.275000000000531</v>
      </c>
      <c r="G57" s="382">
        <f t="shared" si="16"/>
        <v>5293.4750000000004</v>
      </c>
      <c r="H57" s="383">
        <f t="shared" si="17"/>
        <v>-1.0442100888357937E-2</v>
      </c>
      <c r="I57" s="382"/>
      <c r="O57" s="2"/>
      <c r="P57" s="83">
        <v>0.93</v>
      </c>
      <c r="Q57" s="83">
        <f t="shared" si="18"/>
        <v>51.2151</v>
      </c>
      <c r="R57" s="83"/>
      <c r="T57" s="87" t="s">
        <v>112</v>
      </c>
      <c r="U57" s="88">
        <v>3.99</v>
      </c>
      <c r="W57" s="94">
        <v>42675</v>
      </c>
      <c r="X57" s="10">
        <v>46.12</v>
      </c>
      <c r="Y57" s="10">
        <v>46.28</v>
      </c>
      <c r="Z57" s="10">
        <v>45.6</v>
      </c>
      <c r="AA57" s="10">
        <v>45.99</v>
      </c>
      <c r="AB57" s="95">
        <v>20020200</v>
      </c>
      <c r="AC57" s="10">
        <v>45.61</v>
      </c>
      <c r="AD57" s="2">
        <f t="shared" si="1"/>
        <v>0.67999999999999972</v>
      </c>
      <c r="AE57" s="138">
        <f t="shared" si="2"/>
        <v>-4.3830813061584983E-4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5"/>
        <v>122.07999999999998</v>
      </c>
      <c r="G58" s="382">
        <f t="shared" si="16"/>
        <v>3321.92</v>
      </c>
      <c r="H58" s="383">
        <f t="shared" si="17"/>
        <v>3.6749831422791632E-2</v>
      </c>
      <c r="I58" s="382"/>
      <c r="O58" s="2"/>
      <c r="P58" s="83">
        <v>0.92</v>
      </c>
      <c r="Q58" s="83">
        <f t="shared" si="18"/>
        <v>50.664400000000001</v>
      </c>
      <c r="R58" s="83"/>
      <c r="T58" s="87" t="s">
        <v>109</v>
      </c>
      <c r="U58" s="88" t="s">
        <v>551</v>
      </c>
      <c r="W58" s="94">
        <v>42674</v>
      </c>
      <c r="X58" s="10">
        <v>46.4</v>
      </c>
      <c r="Y58" s="10">
        <v>46.56</v>
      </c>
      <c r="Z58" s="10">
        <v>46</v>
      </c>
      <c r="AA58" s="10">
        <v>46.01</v>
      </c>
      <c r="AB58" s="95">
        <v>20115900</v>
      </c>
      <c r="AC58" s="10">
        <v>45.63</v>
      </c>
      <c r="AD58" s="2">
        <f t="shared" si="1"/>
        <v>0.56000000000000227</v>
      </c>
      <c r="AE58" s="138">
        <f t="shared" si="2"/>
        <v>-4.7982551799345963E-3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5"/>
        <v>242.46000000000015</v>
      </c>
      <c r="G59" s="382">
        <f t="shared" si="16"/>
        <v>2307.54</v>
      </c>
      <c r="H59" s="383">
        <f t="shared" si="17"/>
        <v>0.10507293481369778</v>
      </c>
      <c r="I59" s="382"/>
      <c r="O59" s="2"/>
      <c r="P59" s="83">
        <v>0.91</v>
      </c>
      <c r="Q59" s="83">
        <f t="shared" si="18"/>
        <v>50.113700000000001</v>
      </c>
      <c r="R59" s="83"/>
      <c r="W59" s="94">
        <v>42671</v>
      </c>
      <c r="X59" s="10">
        <v>46.57</v>
      </c>
      <c r="Y59" s="10">
        <v>46.64</v>
      </c>
      <c r="Z59" s="10">
        <v>45.88</v>
      </c>
      <c r="AA59" s="10">
        <v>46.23</v>
      </c>
      <c r="AB59" s="95">
        <v>20882000</v>
      </c>
      <c r="AC59" s="10">
        <v>45.85</v>
      </c>
      <c r="AD59" s="2">
        <f t="shared" si="1"/>
        <v>0.75999999999999801</v>
      </c>
      <c r="AE59" s="138">
        <f t="shared" si="2"/>
        <v>-3.9104931566369405E-3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5"/>
        <v>237.75999999999954</v>
      </c>
      <c r="G60" s="382">
        <f t="shared" si="16"/>
        <v>3777.4400000000005</v>
      </c>
      <c r="H60" s="383">
        <f t="shared" si="17"/>
        <v>6.2942098352323145E-2</v>
      </c>
      <c r="I60" s="382"/>
      <c r="O60" s="2"/>
      <c r="P60" s="83">
        <v>0.9</v>
      </c>
      <c r="Q60" s="83">
        <f t="shared" si="18"/>
        <v>49.563000000000002</v>
      </c>
      <c r="R60" s="83"/>
      <c r="W60" s="94">
        <v>42670</v>
      </c>
      <c r="X60" s="10">
        <v>46.42</v>
      </c>
      <c r="Y60" s="10">
        <v>46.81</v>
      </c>
      <c r="Z60" s="10">
        <v>46.26</v>
      </c>
      <c r="AA60" s="10">
        <v>46.41</v>
      </c>
      <c r="AB60" s="95">
        <v>25661000</v>
      </c>
      <c r="AC60" s="10">
        <v>46.03</v>
      </c>
      <c r="AD60" s="2">
        <f t="shared" si="1"/>
        <v>0.55000000000000426</v>
      </c>
      <c r="AE60" s="138">
        <f t="shared" si="2"/>
        <v>5.6805767970284915E-3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5"/>
        <v>264.73000000000013</v>
      </c>
      <c r="G61" s="382">
        <f t="shared" si="16"/>
        <v>2259.77</v>
      </c>
      <c r="H61" s="383">
        <f t="shared" si="17"/>
        <v>0.11714909039415522</v>
      </c>
      <c r="I61" s="382"/>
      <c r="W61" s="94">
        <v>42669</v>
      </c>
      <c r="X61" s="10">
        <v>45.46</v>
      </c>
      <c r="Y61" s="10">
        <v>46.17</v>
      </c>
      <c r="Z61" s="10">
        <v>45.44</v>
      </c>
      <c r="AA61" s="10">
        <v>46.15</v>
      </c>
      <c r="AB61" s="95">
        <v>25181900</v>
      </c>
      <c r="AC61" s="10">
        <v>45.77</v>
      </c>
      <c r="AD61" s="2">
        <f t="shared" si="1"/>
        <v>0.73000000000000398</v>
      </c>
      <c r="AE61" s="138">
        <f t="shared" si="2"/>
        <v>9.4838994265549204E-3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5"/>
        <v>152.12800000000016</v>
      </c>
      <c r="G62" s="382">
        <f t="shared" si="16"/>
        <v>3715.0720000000001</v>
      </c>
      <c r="H62" s="383">
        <f t="shared" si="17"/>
        <v>4.0948869900771817E-2</v>
      </c>
      <c r="I62" s="382"/>
      <c r="W62" s="94">
        <v>42668</v>
      </c>
      <c r="X62" s="10">
        <v>45.47</v>
      </c>
      <c r="Y62" s="10">
        <v>45.8</v>
      </c>
      <c r="Z62" s="10">
        <v>45.41</v>
      </c>
      <c r="AA62" s="10">
        <v>45.72</v>
      </c>
      <c r="AB62" s="95">
        <v>20402000</v>
      </c>
      <c r="AC62" s="10">
        <v>45.34</v>
      </c>
      <c r="AD62" s="2">
        <f t="shared" si="1"/>
        <v>0.39000000000000057</v>
      </c>
      <c r="AE62" s="138">
        <f t="shared" si="2"/>
        <v>4.4306601683652413E-3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5"/>
        <v>35.360000000000014</v>
      </c>
      <c r="G63" s="382">
        <f t="shared" si="16"/>
        <v>3715.04</v>
      </c>
      <c r="H63" s="383">
        <f t="shared" si="17"/>
        <v>9.5180671002196501E-3</v>
      </c>
      <c r="I63" s="382"/>
      <c r="W63" s="94">
        <v>42667</v>
      </c>
      <c r="X63" s="10">
        <v>45.45</v>
      </c>
      <c r="Y63" s="10">
        <v>45.68</v>
      </c>
      <c r="Z63" s="10">
        <v>45.29</v>
      </c>
      <c r="AA63" s="10">
        <v>45.52</v>
      </c>
      <c r="AB63" s="95">
        <v>19303800</v>
      </c>
      <c r="AC63" s="10">
        <v>45.14</v>
      </c>
      <c r="AD63" s="2">
        <f t="shared" si="1"/>
        <v>0.39000000000000057</v>
      </c>
      <c r="AE63" s="138">
        <f t="shared" si="2"/>
        <v>9.3917710196780302E-3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9">C64*(E64-D64)</f>
        <v>-27.040000000000077</v>
      </c>
      <c r="G64" s="382">
        <f t="shared" ref="G64" si="20">D64*C64</f>
        <v>3715.04</v>
      </c>
      <c r="H64" s="383">
        <f t="shared" ref="H64" si="21">(E64-D64)/D64</f>
        <v>-7.2785219001679866E-3</v>
      </c>
      <c r="I64" s="471">
        <v>45</v>
      </c>
      <c r="W64" s="94">
        <v>42664</v>
      </c>
      <c r="X64" s="10">
        <v>44.74</v>
      </c>
      <c r="Y64" s="10">
        <v>45.3</v>
      </c>
      <c r="Z64" s="10">
        <v>44.66</v>
      </c>
      <c r="AA64" s="10">
        <v>45.09</v>
      </c>
      <c r="AB64" s="95">
        <v>21490800</v>
      </c>
      <c r="AC64" s="10">
        <v>44.72</v>
      </c>
      <c r="AD64" s="2">
        <f t="shared" si="1"/>
        <v>0.64000000000000057</v>
      </c>
      <c r="AE64" s="138">
        <f t="shared" si="2"/>
        <v>3.5906642728904536E-3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2">C65*(E65-D65)</f>
        <v>47.327999999999975</v>
      </c>
      <c r="G65" s="382">
        <f t="shared" ref="G65" si="23">D65*C65</f>
        <v>3715.0720000000001</v>
      </c>
      <c r="H65" s="383">
        <f t="shared" ref="H65" si="24">(E65-D65)/D65</f>
        <v>1.2739457001102529E-2</v>
      </c>
      <c r="I65" s="382"/>
      <c r="W65" s="94">
        <v>42663</v>
      </c>
      <c r="X65" s="10">
        <v>44.97</v>
      </c>
      <c r="Y65" s="10">
        <v>45.29</v>
      </c>
      <c r="Z65" s="10">
        <v>44.66</v>
      </c>
      <c r="AA65" s="10">
        <v>44.93</v>
      </c>
      <c r="AB65" s="95">
        <v>27210600</v>
      </c>
      <c r="AC65" s="10">
        <v>44.56</v>
      </c>
      <c r="AD65" s="2">
        <f t="shared" si="1"/>
        <v>0.63000000000000256</v>
      </c>
      <c r="AE65" s="138">
        <f t="shared" si="2"/>
        <v>-7.3513031855646505E-3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5">C66*(E66-D66)</f>
        <v>-18.272000000000048</v>
      </c>
      <c r="G66" s="382">
        <f t="shared" ref="G66" si="26">D66*C66</f>
        <v>3715.0720000000001</v>
      </c>
      <c r="H66" s="383">
        <f t="shared" ref="H66" si="27">(E66-D66)/D66</f>
        <v>-4.9183434399118096E-3</v>
      </c>
      <c r="I66" s="382"/>
      <c r="W66" s="94">
        <v>42662</v>
      </c>
      <c r="X66" s="10">
        <v>44.86</v>
      </c>
      <c r="Y66" s="10">
        <v>45.53</v>
      </c>
      <c r="Z66" s="10">
        <v>44.86</v>
      </c>
      <c r="AA66" s="10">
        <v>45.26</v>
      </c>
      <c r="AB66" s="95">
        <v>26977000</v>
      </c>
      <c r="AC66" s="10">
        <v>44.89</v>
      </c>
      <c r="AD66" s="2">
        <f t="shared" si="1"/>
        <v>0.67000000000000171</v>
      </c>
      <c r="AE66" s="138">
        <f t="shared" si="2"/>
        <v>6.9537909376402585E-3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8">C67*(E67-D67)</f>
        <v>131.32799999999975</v>
      </c>
      <c r="G67" s="382">
        <f t="shared" ref="G67" si="29">D67*C67</f>
        <v>3715.0720000000001</v>
      </c>
      <c r="H67" s="383">
        <f t="shared" ref="H67" si="30">(E67-D67)/D67</f>
        <v>3.5350055126791555E-2</v>
      </c>
      <c r="I67" s="382"/>
      <c r="W67" s="94">
        <v>42661</v>
      </c>
      <c r="X67" s="10">
        <v>44.75</v>
      </c>
      <c r="Y67" s="10">
        <v>45</v>
      </c>
      <c r="Z67" s="10">
        <v>44.41</v>
      </c>
      <c r="AA67" s="10">
        <v>44.95</v>
      </c>
      <c r="AB67" s="95">
        <v>23877600</v>
      </c>
      <c r="AC67" s="10">
        <v>44.58</v>
      </c>
      <c r="AD67" s="2">
        <f t="shared" si="1"/>
        <v>0.59000000000000341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1">C68*(E68-D68)</f>
        <v>152.928</v>
      </c>
      <c r="G68" s="382">
        <f t="shared" ref="G68:G69" si="32">D68*C68</f>
        <v>3715.0720000000001</v>
      </c>
      <c r="H68" s="383">
        <f t="shared" ref="H68:H69" si="33">(E68-D68)/D68</f>
        <v>4.1164208930540243E-2</v>
      </c>
      <c r="I68" s="382"/>
      <c r="W68" s="94">
        <v>42660</v>
      </c>
      <c r="X68" s="10">
        <v>44.54</v>
      </c>
      <c r="Y68" s="10">
        <v>44.76</v>
      </c>
      <c r="Z68" s="10">
        <v>44.32</v>
      </c>
      <c r="AA68" s="10">
        <v>44.5</v>
      </c>
      <c r="AB68" s="95">
        <v>18861300</v>
      </c>
      <c r="AC68" s="10">
        <v>44.13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1"/>
        <v>105.63300000000041</v>
      </c>
      <c r="G69" s="382">
        <f t="shared" si="32"/>
        <v>5142.4669999999996</v>
      </c>
      <c r="H69" s="383">
        <f t="shared" si="33"/>
        <v>2.0541308286470369E-2</v>
      </c>
      <c r="I69" s="382" t="s">
        <v>247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4">C70*(E70-D70)</f>
        <v>168.33300000000042</v>
      </c>
      <c r="G70" s="382">
        <f t="shared" ref="G70" si="35">D70*C70</f>
        <v>5142.4669999999996</v>
      </c>
      <c r="H70" s="383">
        <f t="shared" ref="H70" si="36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7">C71*(E71-D71)</f>
        <v>178.23300000000003</v>
      </c>
      <c r="G71" s="382">
        <f t="shared" ref="G71" si="38">D71*C71</f>
        <v>5142.4669999999996</v>
      </c>
      <c r="H71" s="383">
        <f t="shared" ref="H71" si="39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0">C72*(E72-D72)</f>
        <v>204.63300000000027</v>
      </c>
      <c r="G72" s="382">
        <f t="shared" ref="G72" si="41">D72*C72</f>
        <v>5142.4669999999996</v>
      </c>
      <c r="H72" s="383">
        <f t="shared" ref="H72" si="42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3">C73*(E73-D73)</f>
        <v>170.53300000000002</v>
      </c>
      <c r="G73" s="382">
        <f t="shared" ref="G73" si="44">D73*C73</f>
        <v>5142.4669999999996</v>
      </c>
      <c r="H73" s="383">
        <f t="shared" ref="H73" si="45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6">C74*(E74-D74)</f>
        <v>150.73300000000003</v>
      </c>
      <c r="G74" s="382">
        <f t="shared" ref="G74" si="47">D74*C74</f>
        <v>5142.4669999999996</v>
      </c>
      <c r="H74" s="383">
        <f t="shared" ref="H74" si="48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9">C75*(E75-D75)</f>
        <v>104.53300000000063</v>
      </c>
      <c r="G75" s="382">
        <f t="shared" ref="G75:G76" si="50">D75*C75</f>
        <v>5142.4669999999996</v>
      </c>
      <c r="H75" s="383">
        <f t="shared" ref="H75:H76" si="51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9"/>
        <v>192.34399999999994</v>
      </c>
      <c r="G76" s="382">
        <f t="shared" si="50"/>
        <v>3682.056</v>
      </c>
      <c r="H76" s="383">
        <f t="shared" si="51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2">C77*(E77-D77)</f>
        <v>200.31999999999982</v>
      </c>
      <c r="G77" s="382">
        <f t="shared" ref="G77" si="53">D77*C77</f>
        <v>3682.0800000000004</v>
      </c>
      <c r="H77" s="383">
        <f t="shared" ref="H77" si="54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5">C78*(E78-D78)</f>
        <v>209.91999999999962</v>
      </c>
      <c r="G78" s="382">
        <f t="shared" ref="G78" si="56">D78*C78</f>
        <v>3682.0800000000004</v>
      </c>
      <c r="H78" s="383">
        <f t="shared" ref="H78" si="57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8">C79*(E79-D79)</f>
        <v>190.71999999999946</v>
      </c>
      <c r="G79" s="382">
        <f t="shared" ref="G79" si="59">D79*C79</f>
        <v>3682.0800000000004</v>
      </c>
      <c r="H79" s="383">
        <f t="shared" ref="H79" si="60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1">C80*(E80-D80)</f>
        <v>208.31999999999994</v>
      </c>
      <c r="G80" s="382">
        <f t="shared" ref="G80" si="62">D80*C80</f>
        <v>3682.0800000000004</v>
      </c>
      <c r="H80" s="383">
        <f t="shared" ref="H80" si="63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4">C81*(E81-D81)</f>
        <v>188.31999999999994</v>
      </c>
      <c r="G81" s="382">
        <f t="shared" ref="G81" si="65">D81*C81</f>
        <v>3682.0800000000004</v>
      </c>
      <c r="H81" s="383">
        <f t="shared" ref="H81" si="66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7">C82*(E82-D82)</f>
        <v>198.71999999999957</v>
      </c>
      <c r="G82" s="382">
        <f t="shared" ref="G82" si="68">D82*C82</f>
        <v>3682.0800000000004</v>
      </c>
      <c r="H82" s="383">
        <f t="shared" ref="H82" si="69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0">C87*(E87-D87)</f>
        <v>2.0000000000001705</v>
      </c>
      <c r="G87" s="262">
        <f t="shared" ref="G87" si="71">D87*C87</f>
        <v>1858.8</v>
      </c>
      <c r="H87" s="276">
        <f t="shared" ref="H87" si="72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3">C88*(E88-D88)</f>
        <v>-41.599999999999966</v>
      </c>
      <c r="G88" s="262">
        <f t="shared" ref="G88" si="74">D88*C88</f>
        <v>1858.8</v>
      </c>
      <c r="H88" s="276">
        <f t="shared" ref="H88" si="75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6">C89*(E89-D89)</f>
        <v>-18.400000000000034</v>
      </c>
      <c r="G89" s="262">
        <f t="shared" ref="G89" si="77">D89*C89</f>
        <v>1858.8</v>
      </c>
      <c r="H89" s="276">
        <f t="shared" ref="H89" si="78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79">C90*(E90-D90)</f>
        <v>1.2000000000000455</v>
      </c>
      <c r="G90" s="262">
        <f t="shared" ref="G90" si="80">D90*C90</f>
        <v>1858.8</v>
      </c>
      <c r="H90" s="276">
        <f t="shared" ref="H90" si="81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2">C91*(E91-D91)</f>
        <v>-25.600000000000023</v>
      </c>
      <c r="G91" s="262">
        <f t="shared" ref="G91:G92" si="83">D91*C91</f>
        <v>1858.8</v>
      </c>
      <c r="H91" s="276">
        <f t="shared" ref="H91:H92" si="84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2"/>
        <v>-60.399999999999636</v>
      </c>
      <c r="G92" s="262">
        <f t="shared" si="83"/>
        <v>3650.7999999999997</v>
      </c>
      <c r="H92" s="276">
        <f t="shared" si="84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5">C93*(E93-D93)</f>
        <v>-144.39999999999998</v>
      </c>
      <c r="G93" s="262">
        <f t="shared" ref="G93" si="86">D93*C93</f>
        <v>3650.7999999999997</v>
      </c>
      <c r="H93" s="276">
        <f t="shared" ref="H93" si="87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88">C94*(E94-D94)</f>
        <v>-51.599999999999682</v>
      </c>
      <c r="G94" s="262">
        <f t="shared" ref="G94" si="89">D94*C94</f>
        <v>3650.7999999999997</v>
      </c>
      <c r="H94" s="276">
        <f t="shared" ref="H94" si="90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1">C95*(E95-D95)</f>
        <v>-36.399999999999864</v>
      </c>
      <c r="G95" s="262">
        <f t="shared" ref="G95" si="92">D95*C95</f>
        <v>3650.7999999999997</v>
      </c>
      <c r="H95" s="276">
        <f t="shared" ref="H95" si="93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4">C96*(E96-D96)</f>
        <v>-24.399999999999977</v>
      </c>
      <c r="G96" s="262">
        <f t="shared" ref="G96:G100" si="95">D96*C96</f>
        <v>3650.7999999999997</v>
      </c>
      <c r="H96" s="276">
        <f t="shared" ref="H96:H100" si="96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4"/>
        <v>64.759999999999991</v>
      </c>
      <c r="G97" s="262">
        <f t="shared" si="95"/>
        <v>1791.6399999999999</v>
      </c>
      <c r="H97" s="276">
        <f t="shared" si="96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4"/>
        <v>-21.639999999999873</v>
      </c>
      <c r="G98" s="262">
        <f t="shared" si="95"/>
        <v>3589.64</v>
      </c>
      <c r="H98" s="276">
        <f t="shared" si="96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4"/>
        <v>378.31999999999994</v>
      </c>
      <c r="G99" s="262">
        <f t="shared" si="95"/>
        <v>1726.48</v>
      </c>
      <c r="H99" s="276">
        <f t="shared" si="96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4"/>
        <v>431.92000000000007</v>
      </c>
      <c r="G100" s="262">
        <f t="shared" si="95"/>
        <v>1711.2799999999997</v>
      </c>
      <c r="H100" s="276">
        <f t="shared" si="96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7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7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8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7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8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7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8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7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8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8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8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8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9">SumByColor($A$19,M108:M123)</f>
        <v>0</v>
      </c>
    </row>
  </sheetData>
  <mergeCells count="1">
    <mergeCell ref="P39:Q39"/>
  </mergeCells>
  <conditionalFormatting sqref="F45:F47">
    <cfRule type="expression" dxfId="409" priority="55">
      <formula>F45&gt;0</formula>
    </cfRule>
    <cfRule type="expression" dxfId="40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07" priority="47">
      <formula>F48&gt;0</formula>
    </cfRule>
    <cfRule type="expression" dxfId="406" priority="48">
      <formula>F48&lt;0</formula>
    </cfRule>
  </conditionalFormatting>
  <conditionalFormatting sqref="F48:F76 F83:F85 F92:F103">
    <cfRule type="expression" dxfId="405" priority="49">
      <formula>F48&gt;0</formula>
    </cfRule>
    <cfRule type="expression" dxfId="404" priority="50">
      <formula>F48&lt;0</formula>
    </cfRule>
  </conditionalFormatting>
  <conditionalFormatting sqref="H45:H76 H83:H85 H92:H103">
    <cfRule type="expression" dxfId="403" priority="45">
      <formula>H45&gt;0</formula>
    </cfRule>
    <cfRule type="expression" dxfId="402" priority="46">
      <formula>H45&lt;0</formula>
    </cfRule>
  </conditionalFormatting>
  <conditionalFormatting sqref="F41:F44">
    <cfRule type="expression" dxfId="401" priority="31">
      <formula>F41&gt;0</formula>
    </cfRule>
    <cfRule type="expression" dxfId="400" priority="32">
      <formula>F41&lt;0</formula>
    </cfRule>
  </conditionalFormatting>
  <conditionalFormatting sqref="H41:H44">
    <cfRule type="expression" dxfId="399" priority="29">
      <formula>H41&gt;0</formula>
    </cfRule>
    <cfRule type="expression" dxfId="398" priority="30">
      <formula>H41&lt;0</formula>
    </cfRule>
  </conditionalFormatting>
  <conditionalFormatting sqref="Q8">
    <cfRule type="expression" dxfId="397" priority="25">
      <formula>Q8&gt;0</formula>
    </cfRule>
    <cfRule type="expression" dxfId="396" priority="26">
      <formula>Q8&lt;0</formula>
    </cfRule>
  </conditionalFormatting>
  <conditionalFormatting sqref="Q7">
    <cfRule type="expression" dxfId="395" priority="27">
      <formula>Q7&gt;0</formula>
    </cfRule>
    <cfRule type="expression" dxfId="394" priority="28">
      <formula>Q7&lt;0</formula>
    </cfRule>
  </conditionalFormatting>
  <conditionalFormatting sqref="F77:F82">
    <cfRule type="expression" dxfId="393" priority="21">
      <formula>F77&gt;0</formula>
    </cfRule>
    <cfRule type="expression" dxfId="392" priority="22">
      <formula>F77&lt;0</formula>
    </cfRule>
  </conditionalFormatting>
  <conditionalFormatting sqref="F77:F82">
    <cfRule type="expression" dxfId="391" priority="23">
      <formula>F77&gt;0</formula>
    </cfRule>
    <cfRule type="expression" dxfId="390" priority="24">
      <formula>F77&lt;0</formula>
    </cfRule>
  </conditionalFormatting>
  <conditionalFormatting sqref="H77:H82">
    <cfRule type="expression" dxfId="389" priority="19">
      <formula>H77&gt;0</formula>
    </cfRule>
    <cfRule type="expression" dxfId="388" priority="20">
      <formula>H77&lt;0</formula>
    </cfRule>
  </conditionalFormatting>
  <conditionalFormatting sqref="M106">
    <cfRule type="expression" dxfId="387" priority="15">
      <formula>M106&gt;0</formula>
    </cfRule>
    <cfRule type="expression" dxfId="386" priority="16">
      <formula>M106&lt;0</formula>
    </cfRule>
  </conditionalFormatting>
  <conditionalFormatting sqref="M106">
    <cfRule type="expression" dxfId="385" priority="17">
      <formula>M106&gt;0</formula>
    </cfRule>
    <cfRule type="expression" dxfId="384" priority="18">
      <formula>M106&lt;0</formula>
    </cfRule>
  </conditionalFormatting>
  <conditionalFormatting sqref="F87:F91">
    <cfRule type="expression" dxfId="383" priority="13">
      <formula>F87&gt;0</formula>
    </cfRule>
    <cfRule type="expression" dxfId="382" priority="14">
      <formula>F87&lt;0</formula>
    </cfRule>
  </conditionalFormatting>
  <conditionalFormatting sqref="H87:H91">
    <cfRule type="expression" dxfId="381" priority="11">
      <formula>H87&gt;0</formula>
    </cfRule>
    <cfRule type="expression" dxfId="380" priority="12">
      <formula>H87&lt;0</formula>
    </cfRule>
  </conditionalFormatting>
  <conditionalFormatting sqref="F24:F31">
    <cfRule type="expression" dxfId="379" priority="3">
      <formula>F24&gt;0</formula>
    </cfRule>
    <cfRule type="expression" dxfId="378" priority="4">
      <formula>F24&lt;0</formula>
    </cfRule>
  </conditionalFormatting>
  <conditionalFormatting sqref="F24:F31">
    <cfRule type="expression" dxfId="377" priority="5">
      <formula>F24&gt;0</formula>
    </cfRule>
    <cfRule type="expression" dxfId="376" priority="6">
      <formula>F24&lt;0</formula>
    </cfRule>
  </conditionalFormatting>
  <conditionalFormatting sqref="H24:H31">
    <cfRule type="expression" dxfId="375" priority="1">
      <formula>H24&gt;0</formula>
    </cfRule>
    <cfRule type="expression" dxfId="37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243</v>
      </c>
      <c r="W2" s="94">
        <v>42755</v>
      </c>
      <c r="X2" s="10">
        <v>35.4</v>
      </c>
      <c r="Y2" s="10">
        <v>35.74</v>
      </c>
      <c r="Z2" s="10">
        <v>34.93</v>
      </c>
      <c r="AA2" s="10">
        <v>35.659999999999997</v>
      </c>
      <c r="AB2" s="95">
        <v>5329400</v>
      </c>
      <c r="AC2" s="10">
        <v>35.659999999999997</v>
      </c>
      <c r="AD2" s="2">
        <f>Y2-Z2</f>
        <v>0.81000000000000227</v>
      </c>
      <c r="AE2" s="138">
        <f>AC2/AC3-1</f>
        <v>6.7758328627891551E-3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35.659999999999997</v>
      </c>
      <c r="T3" s="121">
        <v>42568</v>
      </c>
      <c r="U3" t="s">
        <v>252</v>
      </c>
      <c r="W3" s="94">
        <v>42754</v>
      </c>
      <c r="X3" s="10">
        <v>34.22</v>
      </c>
      <c r="Y3" s="10">
        <v>35.630000000000003</v>
      </c>
      <c r="Z3" s="10">
        <v>34.18</v>
      </c>
      <c r="AA3" s="10">
        <v>35.42</v>
      </c>
      <c r="AB3" s="95">
        <v>5035600</v>
      </c>
      <c r="AC3" s="10">
        <v>35.42</v>
      </c>
      <c r="AD3" s="2">
        <f t="shared" ref="AD3:AD40" si="0">Y3-Z3</f>
        <v>1.4500000000000028</v>
      </c>
      <c r="AE3" s="138">
        <f t="shared" ref="AE3:AE39" si="1">AC3/AC4-1</f>
        <v>1.7523700086182092E-2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35.659999999999997</v>
      </c>
      <c r="R4" s="505">
        <v>6.7999999999999996E-3</v>
      </c>
      <c r="T4" s="121"/>
      <c r="W4" s="94">
        <v>42753</v>
      </c>
      <c r="X4" s="10">
        <v>32.950000000000003</v>
      </c>
      <c r="Y4" s="10">
        <v>34.83</v>
      </c>
      <c r="Z4" s="10">
        <v>32.64</v>
      </c>
      <c r="AA4" s="10">
        <v>34.81</v>
      </c>
      <c r="AB4" s="95">
        <v>6398800</v>
      </c>
      <c r="AC4" s="10">
        <v>34.81</v>
      </c>
      <c r="AD4" s="2">
        <f t="shared" si="0"/>
        <v>2.1899999999999977</v>
      </c>
      <c r="AE4" s="138">
        <f t="shared" si="1"/>
        <v>6.6482843137255054E-2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42752</v>
      </c>
      <c r="X5" s="10">
        <v>32.97</v>
      </c>
      <c r="Y5" s="10">
        <v>33.04</v>
      </c>
      <c r="Z5" s="10">
        <v>32.520000000000003</v>
      </c>
      <c r="AA5" s="10">
        <v>32.64</v>
      </c>
      <c r="AB5" s="95">
        <v>1381800</v>
      </c>
      <c r="AC5" s="10">
        <v>32.64</v>
      </c>
      <c r="AD5" s="2">
        <f t="shared" si="0"/>
        <v>0.51999999999999602</v>
      </c>
      <c r="AE5" s="138">
        <f t="shared" si="1"/>
        <v>-1.1208724628900213E-2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42748</v>
      </c>
      <c r="X6" s="10">
        <v>32.82</v>
      </c>
      <c r="Y6" s="10">
        <v>33.43</v>
      </c>
      <c r="Z6" s="10">
        <v>32.53</v>
      </c>
      <c r="AA6" s="10">
        <v>33.01</v>
      </c>
      <c r="AB6" s="95">
        <v>3026200</v>
      </c>
      <c r="AC6" s="10">
        <v>33.01</v>
      </c>
      <c r="AD6" s="2">
        <f t="shared" si="0"/>
        <v>0.89999999999999858</v>
      </c>
      <c r="AE6" s="138">
        <f t="shared" si="1"/>
        <v>-9.0799031476995751E-4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42747</v>
      </c>
      <c r="X7" s="10">
        <v>33</v>
      </c>
      <c r="Y7" s="10">
        <v>33.5</v>
      </c>
      <c r="Z7" s="10">
        <v>32.51</v>
      </c>
      <c r="AA7" s="10">
        <v>33.04</v>
      </c>
      <c r="AB7" s="95">
        <v>4479500</v>
      </c>
      <c r="AC7" s="10">
        <v>33.04</v>
      </c>
      <c r="AD7" s="2">
        <f t="shared" si="0"/>
        <v>0.99000000000000199</v>
      </c>
      <c r="AE7" s="138">
        <f t="shared" si="1"/>
        <v>3.3468877072255321E-2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42746</v>
      </c>
      <c r="X8" s="10">
        <v>31.08</v>
      </c>
      <c r="Y8" s="10">
        <v>32</v>
      </c>
      <c r="Z8" s="10">
        <v>31.08</v>
      </c>
      <c r="AA8" s="10">
        <v>31.97</v>
      </c>
      <c r="AB8" s="95">
        <v>3048500</v>
      </c>
      <c r="AC8" s="10">
        <v>31.97</v>
      </c>
      <c r="AD8" s="2">
        <f t="shared" si="0"/>
        <v>0.92000000000000171</v>
      </c>
      <c r="AE8" s="138">
        <f t="shared" si="1"/>
        <v>3.1956100710135438E-2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10">
        <v>29.83</v>
      </c>
      <c r="Y9" s="10">
        <v>31.1</v>
      </c>
      <c r="Z9" s="10">
        <v>29.73</v>
      </c>
      <c r="AA9" s="10">
        <v>30.98</v>
      </c>
      <c r="AB9" s="95">
        <v>3823600</v>
      </c>
      <c r="AC9" s="10">
        <v>30.98</v>
      </c>
      <c r="AD9" s="2">
        <f t="shared" si="0"/>
        <v>1.370000000000001</v>
      </c>
      <c r="AE9" s="138">
        <f t="shared" si="1"/>
        <v>5.0881953867028429E-2</v>
      </c>
      <c r="AK9" s="234"/>
      <c r="AN9" s="234"/>
    </row>
    <row r="10" spans="1:40" x14ac:dyDescent="0.25">
      <c r="O10" s="11" t="s">
        <v>214</v>
      </c>
      <c r="Q10" s="2">
        <f>M42</f>
        <v>1128.3800000000047</v>
      </c>
      <c r="W10" s="94">
        <v>42744</v>
      </c>
      <c r="X10" s="10">
        <v>30.88</v>
      </c>
      <c r="Y10" s="10">
        <v>30.88</v>
      </c>
      <c r="Z10" s="10">
        <v>29.22</v>
      </c>
      <c r="AA10" s="10">
        <v>29.48</v>
      </c>
      <c r="AB10" s="95">
        <v>4199600</v>
      </c>
      <c r="AC10" s="10">
        <v>29.48</v>
      </c>
      <c r="AD10" s="2">
        <f t="shared" si="0"/>
        <v>1.6600000000000001</v>
      </c>
      <c r="AE10" s="138">
        <f t="shared" si="1"/>
        <v>-3.9113428943937434E-2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42741</v>
      </c>
      <c r="X11" s="10">
        <v>30.69</v>
      </c>
      <c r="Y11" s="10">
        <v>31.1</v>
      </c>
      <c r="Z11" s="10">
        <v>30.31</v>
      </c>
      <c r="AA11" s="10">
        <v>30.68</v>
      </c>
      <c r="AB11" s="95">
        <v>2083600</v>
      </c>
      <c r="AC11" s="10">
        <v>30.68</v>
      </c>
      <c r="AD11" s="2">
        <f t="shared" si="0"/>
        <v>0.7900000000000027</v>
      </c>
      <c r="AE11" s="138">
        <f t="shared" si="1"/>
        <v>9.7879282218604757E-4</v>
      </c>
      <c r="AK11" s="234"/>
      <c r="AN11" s="234"/>
    </row>
    <row r="12" spans="1:40" x14ac:dyDescent="0.25">
      <c r="W12" s="94">
        <v>42740</v>
      </c>
      <c r="X12" s="10">
        <v>30.18</v>
      </c>
      <c r="Y12" s="10">
        <v>30.93</v>
      </c>
      <c r="Z12" s="10">
        <v>30.12</v>
      </c>
      <c r="AA12" s="10">
        <v>30.65</v>
      </c>
      <c r="AB12" s="95">
        <v>2432100</v>
      </c>
      <c r="AC12" s="10">
        <v>30.65</v>
      </c>
      <c r="AD12" s="2">
        <f t="shared" si="0"/>
        <v>0.80999999999999872</v>
      </c>
      <c r="AE12" s="138">
        <f t="shared" si="1"/>
        <v>1.2888301387970813E-2</v>
      </c>
    </row>
    <row r="13" spans="1:40" x14ac:dyDescent="0.25">
      <c r="W13" s="94">
        <v>42739</v>
      </c>
      <c r="X13" s="10">
        <v>29.02</v>
      </c>
      <c r="Y13" s="10">
        <v>30.3</v>
      </c>
      <c r="Z13" s="10">
        <v>29.02</v>
      </c>
      <c r="AA13" s="10">
        <v>30.26</v>
      </c>
      <c r="AB13" s="95">
        <v>3338100</v>
      </c>
      <c r="AC13" s="10">
        <v>30.26</v>
      </c>
      <c r="AD13" s="2">
        <f t="shared" si="0"/>
        <v>1.2800000000000011</v>
      </c>
      <c r="AE13" s="138">
        <f t="shared" si="1"/>
        <v>4.9601109954908296E-2</v>
      </c>
      <c r="AK13" s="234"/>
      <c r="AN13" s="234"/>
    </row>
    <row r="14" spans="1:40" x14ac:dyDescent="0.25">
      <c r="T14" s="84"/>
      <c r="U14" s="11"/>
      <c r="W14" s="94">
        <v>42738</v>
      </c>
      <c r="X14" s="10">
        <v>28.6</v>
      </c>
      <c r="Y14" s="10">
        <v>28.87</v>
      </c>
      <c r="Z14" s="10">
        <v>28.17</v>
      </c>
      <c r="AA14" s="10">
        <v>28.83</v>
      </c>
      <c r="AB14" s="95">
        <v>2746400</v>
      </c>
      <c r="AC14" s="10">
        <v>28.83</v>
      </c>
      <c r="AD14" s="2">
        <f t="shared" si="0"/>
        <v>0.69999999999999929</v>
      </c>
      <c r="AE14" s="138">
        <f t="shared" si="1"/>
        <v>2.6709401709401615E-2</v>
      </c>
    </row>
    <row r="15" spans="1:40" x14ac:dyDescent="0.25">
      <c r="W15" s="94">
        <v>42734</v>
      </c>
      <c r="X15" s="10">
        <v>28.97</v>
      </c>
      <c r="Y15" s="10">
        <v>29.38</v>
      </c>
      <c r="Z15" s="10">
        <v>28.01</v>
      </c>
      <c r="AA15" s="10">
        <v>28.08</v>
      </c>
      <c r="AB15" s="95">
        <v>2651500</v>
      </c>
      <c r="AC15" s="10">
        <v>28.08</v>
      </c>
      <c r="AD15" s="2">
        <f t="shared" si="0"/>
        <v>1.3699999999999974</v>
      </c>
      <c r="AE15" s="138">
        <f t="shared" si="1"/>
        <v>-2.8037383177570208E-2</v>
      </c>
      <c r="AK15" s="234"/>
      <c r="AN15" s="234"/>
    </row>
    <row r="16" spans="1:40" x14ac:dyDescent="0.25">
      <c r="W16" s="94">
        <v>42733</v>
      </c>
      <c r="X16" s="10">
        <v>29.43</v>
      </c>
      <c r="Y16" s="10">
        <v>29.44</v>
      </c>
      <c r="Z16" s="10">
        <v>28.6</v>
      </c>
      <c r="AA16" s="10">
        <v>28.89</v>
      </c>
      <c r="AB16" s="95">
        <v>3224400</v>
      </c>
      <c r="AC16" s="10">
        <v>28.89</v>
      </c>
      <c r="AD16" s="2">
        <f t="shared" si="0"/>
        <v>0.83999999999999986</v>
      </c>
      <c r="AE16" s="138">
        <f t="shared" si="1"/>
        <v>-1.834862385321101E-2</v>
      </c>
    </row>
    <row r="17" spans="1:40" x14ac:dyDescent="0.25">
      <c r="W17" s="94">
        <v>42732</v>
      </c>
      <c r="X17" s="10">
        <v>29.78</v>
      </c>
      <c r="Y17" s="10">
        <v>30.17</v>
      </c>
      <c r="Z17" s="10">
        <v>29.35</v>
      </c>
      <c r="AA17" s="10">
        <v>29.43</v>
      </c>
      <c r="AB17" s="95">
        <v>2749800</v>
      </c>
      <c r="AC17" s="10">
        <v>29.43</v>
      </c>
      <c r="AD17" s="2">
        <f t="shared" si="0"/>
        <v>0.82000000000000028</v>
      </c>
      <c r="AE17" s="138">
        <f t="shared" si="1"/>
        <v>-7.4198988195615101E-3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42731</v>
      </c>
      <c r="X18" s="10">
        <v>29.58</v>
      </c>
      <c r="Y18" s="10">
        <v>30.04</v>
      </c>
      <c r="Z18" s="10">
        <v>29.4</v>
      </c>
      <c r="AA18" s="10">
        <v>29.65</v>
      </c>
      <c r="AB18" s="95">
        <v>1708000</v>
      </c>
      <c r="AC18" s="10">
        <v>29.65</v>
      </c>
      <c r="AD18" s="2">
        <f t="shared" si="0"/>
        <v>0.64000000000000057</v>
      </c>
      <c r="AE18" s="138">
        <f t="shared" si="1"/>
        <v>-2.0195220464490626E-3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42727</v>
      </c>
      <c r="X19" s="10">
        <v>29.79</v>
      </c>
      <c r="Y19" s="10">
        <v>30.13</v>
      </c>
      <c r="Z19" s="10">
        <v>29.34</v>
      </c>
      <c r="AA19" s="10">
        <v>29.71</v>
      </c>
      <c r="AB19" s="95">
        <v>2881800</v>
      </c>
      <c r="AC19" s="10">
        <v>29.71</v>
      </c>
      <c r="AD19" s="2">
        <f t="shared" si="0"/>
        <v>0.78999999999999915</v>
      </c>
      <c r="AE19" s="138">
        <f t="shared" si="1"/>
        <v>-1.3445378151260012E-3</v>
      </c>
      <c r="AK19" s="234"/>
      <c r="AN19" s="234"/>
    </row>
    <row r="20" spans="1:40" x14ac:dyDescent="0.25">
      <c r="W20" s="94">
        <v>42726</v>
      </c>
      <c r="X20" s="10">
        <v>30.21</v>
      </c>
      <c r="Y20" s="10">
        <v>30.35</v>
      </c>
      <c r="Z20" s="10">
        <v>29.54</v>
      </c>
      <c r="AA20" s="10">
        <v>29.75</v>
      </c>
      <c r="AB20" s="95">
        <v>3761600</v>
      </c>
      <c r="AC20" s="10">
        <v>29.75</v>
      </c>
      <c r="AD20" s="2">
        <f t="shared" si="0"/>
        <v>0.81000000000000227</v>
      </c>
      <c r="AE20" s="138">
        <f t="shared" si="1"/>
        <v>-2.2346368715083775E-2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42725</v>
      </c>
      <c r="X21" s="10">
        <v>30.19</v>
      </c>
      <c r="Y21" s="10">
        <v>30.43</v>
      </c>
      <c r="Z21" s="10">
        <v>30.02</v>
      </c>
      <c r="AA21" s="10">
        <v>30.43</v>
      </c>
      <c r="AB21" s="95">
        <v>1811200</v>
      </c>
      <c r="AC21" s="10">
        <v>30.43</v>
      </c>
      <c r="AD21" s="2">
        <f t="shared" si="0"/>
        <v>0.41000000000000014</v>
      </c>
      <c r="AE21" s="138">
        <f t="shared" si="1"/>
        <v>8.9522546419098514E-3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42724</v>
      </c>
      <c r="X22" s="10">
        <v>29.9</v>
      </c>
      <c r="Y22" s="10">
        <v>30.33</v>
      </c>
      <c r="Z22" s="10">
        <v>29.77</v>
      </c>
      <c r="AA22" s="10">
        <v>30.16</v>
      </c>
      <c r="AB22" s="95">
        <v>3821000</v>
      </c>
      <c r="AC22" s="10">
        <v>30.16</v>
      </c>
      <c r="AD22" s="2">
        <f t="shared" si="0"/>
        <v>0.55999999999999872</v>
      </c>
      <c r="AE22" s="138">
        <f t="shared" si="1"/>
        <v>2.9702970297029729E-2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42723</v>
      </c>
      <c r="X23" s="10">
        <v>28.89</v>
      </c>
      <c r="Y23" s="10">
        <v>29.49</v>
      </c>
      <c r="Z23" s="10">
        <v>28.75</v>
      </c>
      <c r="AA23" s="10">
        <v>29.29</v>
      </c>
      <c r="AB23" s="95">
        <v>2557400</v>
      </c>
      <c r="AC23" s="10">
        <v>29.29</v>
      </c>
      <c r="AD23" s="2">
        <f t="shared" si="0"/>
        <v>0.73999999999999844</v>
      </c>
      <c r="AE23" s="138">
        <f t="shared" si="1"/>
        <v>-3.7414965986394266E-3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42720</v>
      </c>
      <c r="X24" s="10">
        <v>29.65</v>
      </c>
      <c r="Y24" s="10">
        <v>30.42</v>
      </c>
      <c r="Z24" s="10">
        <v>29.16</v>
      </c>
      <c r="AA24" s="10">
        <v>29.4</v>
      </c>
      <c r="AB24" s="95">
        <v>7656400</v>
      </c>
      <c r="AC24" s="10">
        <v>29.4</v>
      </c>
      <c r="AD24" s="2">
        <f t="shared" si="0"/>
        <v>1.2600000000000016</v>
      </c>
      <c r="AE24" s="138">
        <f t="shared" si="1"/>
        <v>-1.309164149043307E-2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42719</v>
      </c>
      <c r="X25" s="10">
        <v>30.16</v>
      </c>
      <c r="Y25" s="10">
        <v>30.44</v>
      </c>
      <c r="Z25" s="10">
        <v>29.65</v>
      </c>
      <c r="AA25" s="10">
        <v>29.79</v>
      </c>
      <c r="AB25" s="95">
        <v>3751600</v>
      </c>
      <c r="AC25" s="10">
        <v>29.79</v>
      </c>
      <c r="AD25" s="2">
        <f t="shared" si="0"/>
        <v>0.7900000000000027</v>
      </c>
      <c r="AE25" s="138">
        <f t="shared" si="1"/>
        <v>-2.1674876847290636E-2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42718</v>
      </c>
      <c r="X26" s="10">
        <v>30.11</v>
      </c>
      <c r="Y26" s="10">
        <v>31.32</v>
      </c>
      <c r="Z26" s="10">
        <v>30.03</v>
      </c>
      <c r="AA26" s="10">
        <v>30.45</v>
      </c>
      <c r="AB26" s="95">
        <v>3175000</v>
      </c>
      <c r="AC26" s="10">
        <v>30.45</v>
      </c>
      <c r="AD26" s="2">
        <f t="shared" si="0"/>
        <v>1.2899999999999991</v>
      </c>
      <c r="AE26" s="138">
        <f t="shared" si="1"/>
        <v>6.9444444444444198E-3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42717</v>
      </c>
      <c r="X27" s="10">
        <v>31.4</v>
      </c>
      <c r="Y27" s="10">
        <v>31.73</v>
      </c>
      <c r="Z27" s="10">
        <v>30.03</v>
      </c>
      <c r="AA27" s="10">
        <v>30.24</v>
      </c>
      <c r="AB27" s="95">
        <v>4187700</v>
      </c>
      <c r="AC27" s="10">
        <v>30.24</v>
      </c>
      <c r="AD27" s="2">
        <f t="shared" si="0"/>
        <v>1.6999999999999993</v>
      </c>
      <c r="AE27" s="138">
        <f t="shared" si="1"/>
        <v>-3.201024327784896E-2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42716</v>
      </c>
      <c r="X28" s="10">
        <v>32.159999999999997</v>
      </c>
      <c r="Y28" s="10">
        <v>32.35</v>
      </c>
      <c r="Z28" s="10">
        <v>30.85</v>
      </c>
      <c r="AA28" s="10">
        <v>31.24</v>
      </c>
      <c r="AB28" s="95">
        <v>3415200</v>
      </c>
      <c r="AC28" s="10">
        <v>31.24</v>
      </c>
      <c r="AD28" s="2">
        <f t="shared" si="0"/>
        <v>1.5</v>
      </c>
      <c r="AE28" s="138">
        <f t="shared" si="1"/>
        <v>-2.5273010920436767E-2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42713</v>
      </c>
      <c r="X29" s="10">
        <v>31.31</v>
      </c>
      <c r="Y29" s="10">
        <v>32.11</v>
      </c>
      <c r="Z29" s="10">
        <v>31.04</v>
      </c>
      <c r="AA29" s="10">
        <v>32.049999999999997</v>
      </c>
      <c r="AB29" s="95">
        <v>4304200</v>
      </c>
      <c r="AC29" s="10">
        <v>32.049999999999997</v>
      </c>
      <c r="AD29" s="2">
        <f t="shared" si="0"/>
        <v>1.0700000000000003</v>
      </c>
      <c r="AE29" s="138">
        <f t="shared" si="1"/>
        <v>2.3634621526668731E-2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42712</v>
      </c>
      <c r="X30" s="10">
        <v>31.28</v>
      </c>
      <c r="Y30" s="10">
        <v>31.84</v>
      </c>
      <c r="Z30" s="10">
        <v>30.8</v>
      </c>
      <c r="AA30" s="10">
        <v>31.31</v>
      </c>
      <c r="AB30" s="95">
        <v>3064500</v>
      </c>
      <c r="AC30" s="10">
        <v>31.31</v>
      </c>
      <c r="AD30" s="2">
        <f t="shared" si="0"/>
        <v>1.0399999999999991</v>
      </c>
      <c r="AE30" s="138">
        <f t="shared" si="1"/>
        <v>1.3268608414239491E-2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42711</v>
      </c>
      <c r="X31" s="10">
        <v>31.3</v>
      </c>
      <c r="Y31" s="10">
        <v>31.89</v>
      </c>
      <c r="Z31" s="10">
        <v>30.76</v>
      </c>
      <c r="AA31" s="10">
        <v>30.9</v>
      </c>
      <c r="AB31" s="95">
        <v>5777400</v>
      </c>
      <c r="AC31" s="10">
        <v>30.9</v>
      </c>
      <c r="AD31" s="2">
        <f t="shared" si="0"/>
        <v>1.129999999999999</v>
      </c>
      <c r="AE31" s="138">
        <f t="shared" si="1"/>
        <v>-8.0256821829856051E-3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42710</v>
      </c>
      <c r="X32" s="10">
        <v>30.71</v>
      </c>
      <c r="Y32" s="10">
        <v>31.19</v>
      </c>
      <c r="Z32" s="10">
        <v>30.21</v>
      </c>
      <c r="AA32" s="10">
        <v>31.15</v>
      </c>
      <c r="AB32" s="95">
        <v>3235700</v>
      </c>
      <c r="AC32" s="10">
        <v>31.15</v>
      </c>
      <c r="AD32" s="2">
        <f t="shared" si="0"/>
        <v>0.98000000000000043</v>
      </c>
      <c r="AE32" s="138">
        <f t="shared" si="1"/>
        <v>-2.2421524663677195E-3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42709</v>
      </c>
      <c r="X33" s="10">
        <v>29.03</v>
      </c>
      <c r="Y33" s="10">
        <v>31.28</v>
      </c>
      <c r="Z33" s="10">
        <v>28.89</v>
      </c>
      <c r="AA33" s="10">
        <v>31.22</v>
      </c>
      <c r="AB33" s="95">
        <v>7031500</v>
      </c>
      <c r="AC33" s="10">
        <v>31.22</v>
      </c>
      <c r="AD33" s="2">
        <f t="shared" si="0"/>
        <v>2.3900000000000006</v>
      </c>
      <c r="AE33" s="138">
        <f t="shared" si="1"/>
        <v>7.5068870523415931E-2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10">
        <v>28.86</v>
      </c>
      <c r="Y34" s="10">
        <v>29.63</v>
      </c>
      <c r="Z34" s="10">
        <v>28.73</v>
      </c>
      <c r="AA34" s="10">
        <v>29.04</v>
      </c>
      <c r="AB34" s="95">
        <v>3870300</v>
      </c>
      <c r="AC34" s="10">
        <v>29.04</v>
      </c>
      <c r="AD34" s="2">
        <f t="shared" si="0"/>
        <v>0.89999999999999858</v>
      </c>
      <c r="AE34" s="138">
        <f t="shared" si="1"/>
        <v>5.5401662049860967E-3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10">
        <v>28.84</v>
      </c>
      <c r="Y35" s="10">
        <v>29.42</v>
      </c>
      <c r="Z35" s="10">
        <v>28.6</v>
      </c>
      <c r="AA35" s="10">
        <v>28.88</v>
      </c>
      <c r="AB35" s="95">
        <v>4960400</v>
      </c>
      <c r="AC35" s="10">
        <v>28.88</v>
      </c>
      <c r="AD35" s="2">
        <f t="shared" si="0"/>
        <v>0.82000000000000028</v>
      </c>
      <c r="AE35" s="138">
        <f t="shared" si="1"/>
        <v>-3.1066620642042908E-3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42704</v>
      </c>
      <c r="X36" s="10">
        <v>30.06</v>
      </c>
      <c r="Y36" s="10">
        <v>30.44</v>
      </c>
      <c r="Z36" s="10">
        <v>28.85</v>
      </c>
      <c r="AA36" s="10">
        <v>28.97</v>
      </c>
      <c r="AB36" s="95">
        <v>5127700</v>
      </c>
      <c r="AC36" s="10">
        <v>28.97</v>
      </c>
      <c r="AD36" s="2">
        <f t="shared" si="0"/>
        <v>1.5899999999999999</v>
      </c>
      <c r="AE36" s="138">
        <f t="shared" si="1"/>
        <v>-2.5563403969054876E-2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42703</v>
      </c>
      <c r="X37" s="10">
        <v>30.02</v>
      </c>
      <c r="Y37" s="10">
        <v>30.5</v>
      </c>
      <c r="Z37" s="10">
        <v>29.73</v>
      </c>
      <c r="AA37" s="10">
        <v>29.73</v>
      </c>
      <c r="AB37" s="95">
        <v>4805300</v>
      </c>
      <c r="AC37" s="10">
        <v>29.73</v>
      </c>
      <c r="AD37" s="2">
        <f t="shared" si="0"/>
        <v>0.76999999999999957</v>
      </c>
      <c r="AE37" s="138">
        <f t="shared" si="1"/>
        <v>-3.66169799092676E-2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42702</v>
      </c>
      <c r="X38" s="10">
        <v>31.48</v>
      </c>
      <c r="Y38" s="10">
        <v>31.8</v>
      </c>
      <c r="Z38" s="10">
        <v>30.7</v>
      </c>
      <c r="AA38" s="10">
        <v>30.86</v>
      </c>
      <c r="AB38" s="95">
        <v>5119200</v>
      </c>
      <c r="AC38" s="10">
        <v>30.86</v>
      </c>
      <c r="AD38" s="2">
        <f t="shared" si="0"/>
        <v>1.1000000000000014</v>
      </c>
      <c r="AE38" s="138">
        <f t="shared" si="1"/>
        <v>-2.6498422712933789E-2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10">
        <v>31.24</v>
      </c>
      <c r="Y39" s="10">
        <v>32.19</v>
      </c>
      <c r="Z39" s="10">
        <v>31.11</v>
      </c>
      <c r="AA39" s="10">
        <v>31.7</v>
      </c>
      <c r="AB39" s="95">
        <v>3109500</v>
      </c>
      <c r="AC39" s="10">
        <v>31.7</v>
      </c>
      <c r="AD39" s="2">
        <f t="shared" si="0"/>
        <v>1.0799999999999983</v>
      </c>
      <c r="AE39" s="138">
        <f t="shared" si="1"/>
        <v>6.0298317994287309E-3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39.225999999999999</v>
      </c>
      <c r="R40" s="34"/>
      <c r="T40" s="87" t="s">
        <v>98</v>
      </c>
      <c r="U40" s="88">
        <v>35.42</v>
      </c>
      <c r="W40" s="94">
        <v>42697</v>
      </c>
      <c r="X40" s="10">
        <v>31</v>
      </c>
      <c r="Y40" s="10">
        <v>31.93</v>
      </c>
      <c r="Z40" s="10">
        <v>30</v>
      </c>
      <c r="AA40" s="10">
        <v>31.51</v>
      </c>
      <c r="AB40" s="95">
        <v>4111400</v>
      </c>
      <c r="AC40" s="10">
        <v>31.51</v>
      </c>
      <c r="AD40" s="2">
        <f t="shared" si="0"/>
        <v>1.9299999999999997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38.869399999999999</v>
      </c>
      <c r="R41" s="34"/>
      <c r="T41" s="87" t="s">
        <v>99</v>
      </c>
      <c r="U41" s="88">
        <v>35.4</v>
      </c>
      <c r="W41" s="94">
        <v>42696</v>
      </c>
      <c r="X41" s="10">
        <v>31.1</v>
      </c>
      <c r="Y41" s="10">
        <v>31.91</v>
      </c>
      <c r="Z41" s="10">
        <v>30.54</v>
      </c>
      <c r="AA41" s="10">
        <v>31.34</v>
      </c>
      <c r="AB41" s="95">
        <v>4181000</v>
      </c>
      <c r="AC41" s="10">
        <v>31.34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38.512799999999999</v>
      </c>
      <c r="R42" s="34"/>
      <c r="T42" s="87" t="s">
        <v>100</v>
      </c>
      <c r="U42" s="88" t="s">
        <v>129</v>
      </c>
      <c r="W42" s="94">
        <v>42695</v>
      </c>
      <c r="X42" s="10">
        <v>30.89</v>
      </c>
      <c r="Y42" s="10">
        <v>30.98</v>
      </c>
      <c r="Z42" s="10">
        <v>29.5</v>
      </c>
      <c r="AA42" s="10">
        <v>30.69</v>
      </c>
      <c r="AB42" s="95">
        <v>2986000</v>
      </c>
      <c r="AC42" s="10">
        <v>30.69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38.156199999999998</v>
      </c>
      <c r="R43" s="83"/>
      <c r="T43" s="87" t="s">
        <v>101</v>
      </c>
      <c r="U43" s="88" t="s">
        <v>129</v>
      </c>
      <c r="W43" s="94">
        <v>42692</v>
      </c>
      <c r="X43" s="10">
        <v>31.73</v>
      </c>
      <c r="Y43" s="10">
        <v>31.77</v>
      </c>
      <c r="Z43" s="10">
        <v>30.16</v>
      </c>
      <c r="AA43" s="10">
        <v>30.42</v>
      </c>
      <c r="AB43" s="95">
        <v>4421700</v>
      </c>
      <c r="AC43" s="10">
        <v>30.42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37.799599999999998</v>
      </c>
      <c r="R44" s="83"/>
      <c r="T44" s="87" t="s">
        <v>102</v>
      </c>
      <c r="U44" s="88">
        <v>33.130000000000003</v>
      </c>
      <c r="W44" s="94">
        <v>42691</v>
      </c>
      <c r="X44" s="10">
        <v>31.3</v>
      </c>
      <c r="Y44" s="10">
        <v>32.020000000000003</v>
      </c>
      <c r="Z44" s="10">
        <v>30.77</v>
      </c>
      <c r="AA44" s="10">
        <v>31.85</v>
      </c>
      <c r="AB44" s="95">
        <v>4693200</v>
      </c>
      <c r="AC44" s="10">
        <v>31.85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37.442999999999998</v>
      </c>
      <c r="R45" s="83"/>
      <c r="T45" s="87" t="s">
        <v>103</v>
      </c>
      <c r="U45" s="88">
        <v>0.69392299999999996</v>
      </c>
      <c r="W45" s="94">
        <v>42690</v>
      </c>
      <c r="X45" s="10">
        <v>29.69</v>
      </c>
      <c r="Y45" s="10">
        <v>31.69</v>
      </c>
      <c r="Z45" s="10">
        <v>29.66</v>
      </c>
      <c r="AA45" s="10">
        <v>31.42</v>
      </c>
      <c r="AB45" s="95">
        <v>6153000</v>
      </c>
      <c r="AC45" s="10">
        <v>31.42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37.086399999999998</v>
      </c>
      <c r="R46" s="83"/>
      <c r="T46" s="87" t="s">
        <v>104</v>
      </c>
      <c r="U46" s="89" t="s">
        <v>129</v>
      </c>
      <c r="W46" s="94">
        <v>42689</v>
      </c>
      <c r="X46" s="10">
        <v>28.94</v>
      </c>
      <c r="Y46" s="10">
        <v>30.23</v>
      </c>
      <c r="Z46" s="10">
        <v>28.83</v>
      </c>
      <c r="AA46" s="10">
        <v>30.21</v>
      </c>
      <c r="AB46" s="95">
        <v>3668900</v>
      </c>
      <c r="AC46" s="10">
        <v>30.21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36.729799999999997</v>
      </c>
      <c r="R47" s="83"/>
      <c r="T47" s="87"/>
      <c r="U47" s="88"/>
      <c r="W47" s="94">
        <v>42688</v>
      </c>
      <c r="X47" s="10">
        <v>29.5</v>
      </c>
      <c r="Y47" s="10">
        <v>29.94</v>
      </c>
      <c r="Z47" s="10">
        <v>28.61</v>
      </c>
      <c r="AA47" s="10">
        <v>29.62</v>
      </c>
      <c r="AB47" s="95">
        <v>5156700</v>
      </c>
      <c r="AC47" s="10">
        <v>29.62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36.373199999999997</v>
      </c>
      <c r="R48" s="83"/>
      <c r="T48" s="87" t="s">
        <v>105</v>
      </c>
      <c r="U48" s="88" t="s">
        <v>552</v>
      </c>
      <c r="W48" s="94">
        <v>42685</v>
      </c>
      <c r="X48" s="10">
        <v>29.18</v>
      </c>
      <c r="Y48" s="10">
        <v>29.99</v>
      </c>
      <c r="Z48" s="10">
        <v>27.63</v>
      </c>
      <c r="AA48" s="10">
        <v>29.3</v>
      </c>
      <c r="AB48" s="95">
        <v>5334500</v>
      </c>
      <c r="AC48" s="10">
        <v>29.3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36.016599999999997</v>
      </c>
      <c r="R49" s="83"/>
      <c r="T49" s="87" t="s">
        <v>106</v>
      </c>
      <c r="U49" s="88" t="s">
        <v>553</v>
      </c>
      <c r="W49" s="94">
        <v>42684</v>
      </c>
      <c r="X49" s="10">
        <v>29.08</v>
      </c>
      <c r="Y49" s="10">
        <v>29.7</v>
      </c>
      <c r="Z49" s="10">
        <v>28.3</v>
      </c>
      <c r="AA49" s="10">
        <v>29.1</v>
      </c>
      <c r="AB49" s="95">
        <v>8189900</v>
      </c>
      <c r="AC49" s="10">
        <v>29.1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35.659999999999997</v>
      </c>
      <c r="R50" s="83"/>
      <c r="T50" s="87" t="s">
        <v>107</v>
      </c>
      <c r="U50" s="90">
        <v>5330864</v>
      </c>
      <c r="W50" s="94">
        <v>42683</v>
      </c>
      <c r="X50" s="10">
        <v>26.83</v>
      </c>
      <c r="Y50" s="10">
        <v>29.14</v>
      </c>
      <c r="Z50" s="10">
        <v>26</v>
      </c>
      <c r="AA50" s="10">
        <v>28.72</v>
      </c>
      <c r="AB50" s="95">
        <v>10675900</v>
      </c>
      <c r="AC50" s="10">
        <v>28.72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35.303399999999996</v>
      </c>
      <c r="R51" s="83"/>
      <c r="T51" s="87" t="s">
        <v>110</v>
      </c>
      <c r="U51" s="90">
        <v>4536580</v>
      </c>
      <c r="W51" s="94">
        <v>42682</v>
      </c>
      <c r="X51" s="10">
        <v>24.3</v>
      </c>
      <c r="Y51" s="10">
        <v>26.59</v>
      </c>
      <c r="Z51" s="10">
        <v>24.3</v>
      </c>
      <c r="AA51" s="10">
        <v>26.4</v>
      </c>
      <c r="AB51" s="95">
        <v>6457600</v>
      </c>
      <c r="AC51" s="10">
        <v>26.4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34.946799999999996</v>
      </c>
      <c r="R52" s="83"/>
      <c r="T52" s="87" t="s">
        <v>108</v>
      </c>
      <c r="U52" s="88" t="s">
        <v>554</v>
      </c>
      <c r="W52" s="94">
        <v>42681</v>
      </c>
      <c r="X52" s="10">
        <v>25.54</v>
      </c>
      <c r="Y52" s="10">
        <v>26.41</v>
      </c>
      <c r="Z52" s="10">
        <v>24.89</v>
      </c>
      <c r="AA52" s="10">
        <v>25.08</v>
      </c>
      <c r="AB52" s="95">
        <v>8377000</v>
      </c>
      <c r="AC52" s="10">
        <v>25.08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34.590199999999996</v>
      </c>
      <c r="R53" s="83"/>
      <c r="T53" s="87" t="s">
        <v>111</v>
      </c>
      <c r="U53" s="88" t="s">
        <v>129</v>
      </c>
      <c r="W53" s="94">
        <v>42678</v>
      </c>
      <c r="X53" s="10">
        <v>23.82</v>
      </c>
      <c r="Y53" s="10">
        <v>25.5</v>
      </c>
      <c r="Z53" s="10">
        <v>23.56</v>
      </c>
      <c r="AA53" s="10">
        <v>25.2</v>
      </c>
      <c r="AB53" s="95">
        <v>6878700</v>
      </c>
      <c r="AC53" s="10">
        <v>25.2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34.233599999999996</v>
      </c>
      <c r="R54" s="83"/>
      <c r="T54" s="87" t="s">
        <v>112</v>
      </c>
      <c r="U54" s="88">
        <v>-5.94</v>
      </c>
      <c r="W54" s="94">
        <v>42677</v>
      </c>
      <c r="X54" s="10">
        <v>22.96</v>
      </c>
      <c r="Y54" s="10">
        <v>24.35</v>
      </c>
      <c r="Z54" s="10">
        <v>22.94</v>
      </c>
      <c r="AA54" s="10">
        <v>24.15</v>
      </c>
      <c r="AB54" s="95">
        <v>8084200</v>
      </c>
      <c r="AC54" s="10">
        <v>24.15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33.876999999999995</v>
      </c>
      <c r="R55" s="83"/>
      <c r="T55" s="87" t="s">
        <v>109</v>
      </c>
      <c r="U55" s="88" t="s">
        <v>333</v>
      </c>
      <c r="W55" s="94">
        <v>42676</v>
      </c>
      <c r="X55" s="10">
        <v>22.67</v>
      </c>
      <c r="Y55" s="10">
        <v>23.26</v>
      </c>
      <c r="Z55" s="10">
        <v>22.64</v>
      </c>
      <c r="AA55" s="10">
        <v>22.91</v>
      </c>
      <c r="AB55" s="95">
        <v>10755300</v>
      </c>
      <c r="AC55" s="10">
        <v>22.91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33.520399999999995</v>
      </c>
      <c r="R56" s="83"/>
      <c r="W56" s="94">
        <v>42676</v>
      </c>
      <c r="X56" s="10" t="s">
        <v>332</v>
      </c>
      <c r="Y56" s="10"/>
      <c r="Z56" s="10"/>
      <c r="AA56" s="10"/>
      <c r="AB56" s="95"/>
      <c r="AC56" s="10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33.163800000000002</v>
      </c>
      <c r="R57" s="83"/>
      <c r="W57" s="94">
        <v>42675</v>
      </c>
      <c r="X57" s="10">
        <v>22.1</v>
      </c>
      <c r="Y57" s="10">
        <v>23.55</v>
      </c>
      <c r="Z57" s="10">
        <v>21.78</v>
      </c>
      <c r="AA57" s="10">
        <v>23</v>
      </c>
      <c r="AB57" s="95">
        <v>32216900</v>
      </c>
      <c r="AC57" s="10">
        <v>22.91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32.807200000000002</v>
      </c>
      <c r="R58" s="83"/>
      <c r="W58" s="94">
        <v>42674</v>
      </c>
      <c r="X58" s="10">
        <v>21.29</v>
      </c>
      <c r="Y58" s="10">
        <v>22.1</v>
      </c>
      <c r="Z58" s="10">
        <v>20.81</v>
      </c>
      <c r="AA58" s="10">
        <v>21.44</v>
      </c>
      <c r="AB58" s="95">
        <v>1937000</v>
      </c>
      <c r="AC58" s="10">
        <v>21.36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32.450600000000001</v>
      </c>
      <c r="R59" s="83"/>
      <c r="W59" s="94">
        <v>42671</v>
      </c>
      <c r="X59" s="10">
        <v>22</v>
      </c>
      <c r="Y59" s="10">
        <v>22</v>
      </c>
      <c r="Z59" s="10">
        <v>20.76</v>
      </c>
      <c r="AA59" s="10">
        <v>21.4</v>
      </c>
      <c r="AB59" s="95">
        <v>616800</v>
      </c>
      <c r="AC59" s="10">
        <v>21.32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32.094000000000001</v>
      </c>
      <c r="R60" s="83"/>
      <c r="W60" s="94">
        <v>42670</v>
      </c>
      <c r="X60" s="10">
        <v>21</v>
      </c>
      <c r="Y60" s="10">
        <v>21.75</v>
      </c>
      <c r="Z60" s="10">
        <v>20.71</v>
      </c>
      <c r="AA60" s="10">
        <v>21.2</v>
      </c>
      <c r="AB60" s="95">
        <v>71900</v>
      </c>
      <c r="AC60" s="10">
        <v>21.12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42669</v>
      </c>
      <c r="X61" s="10">
        <v>21</v>
      </c>
      <c r="Y61" s="10">
        <v>21</v>
      </c>
      <c r="Z61" s="10">
        <v>20</v>
      </c>
      <c r="AA61" s="10">
        <v>21</v>
      </c>
      <c r="AB61" s="95">
        <v>117500</v>
      </c>
      <c r="AC61" s="10">
        <v>20.92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42668</v>
      </c>
      <c r="X62" s="10">
        <v>22.16</v>
      </c>
      <c r="Y62" s="10">
        <v>22.5</v>
      </c>
      <c r="Z62" s="10">
        <v>20.64</v>
      </c>
      <c r="AA62" s="10">
        <v>21.25</v>
      </c>
      <c r="AB62" s="95">
        <v>165200</v>
      </c>
      <c r="AC62" s="10">
        <v>21.17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42667</v>
      </c>
      <c r="X63" s="10">
        <v>21</v>
      </c>
      <c r="Y63" s="10">
        <v>21</v>
      </c>
      <c r="Z63" s="10">
        <v>20.98</v>
      </c>
      <c r="AA63" s="10">
        <v>21</v>
      </c>
      <c r="AB63" s="95">
        <v>5900</v>
      </c>
      <c r="AC63" s="10">
        <v>20.92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42664</v>
      </c>
      <c r="X64" s="10">
        <v>21.2</v>
      </c>
      <c r="Y64" s="10">
        <v>21.2</v>
      </c>
      <c r="Z64" s="10">
        <v>20.89</v>
      </c>
      <c r="AA64" s="10">
        <v>21</v>
      </c>
      <c r="AB64" s="95">
        <v>11000</v>
      </c>
      <c r="AC64" s="10">
        <v>20.92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42663</v>
      </c>
      <c r="X65" s="10">
        <v>22.5</v>
      </c>
      <c r="Y65" s="10">
        <v>22.5</v>
      </c>
      <c r="Z65" s="10">
        <v>22.5</v>
      </c>
      <c r="AA65" s="10">
        <v>22.5</v>
      </c>
      <c r="AB65" s="95">
        <v>0</v>
      </c>
      <c r="AC65" s="10">
        <v>22.41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42662</v>
      </c>
      <c r="X66" s="10">
        <v>22.5</v>
      </c>
      <c r="Y66" s="10">
        <v>22.5</v>
      </c>
      <c r="Z66" s="10">
        <v>22.5</v>
      </c>
      <c r="AA66" s="10">
        <v>22.5</v>
      </c>
      <c r="AB66" s="95">
        <v>0</v>
      </c>
      <c r="AC66" s="10">
        <v>22.41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42661</v>
      </c>
      <c r="X67" s="10">
        <v>22.5</v>
      </c>
      <c r="Y67" s="10">
        <v>22.5</v>
      </c>
      <c r="Z67" s="10">
        <v>22.5</v>
      </c>
      <c r="AA67" s="10">
        <v>22.5</v>
      </c>
      <c r="AB67" s="95">
        <v>1000</v>
      </c>
      <c r="AC67" s="10">
        <v>22.41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242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3" priority="66">
      <formula>F22&gt;0</formula>
    </cfRule>
    <cfRule type="expression" dxfId="3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1" priority="53">
      <formula>F41&gt;0</formula>
    </cfRule>
    <cfRule type="expression" dxfId="370" priority="54">
      <formula>F41&lt;0</formula>
    </cfRule>
  </conditionalFormatting>
  <conditionalFormatting sqref="F41">
    <cfRule type="expression" dxfId="369" priority="57">
      <formula>F41&gt;0</formula>
    </cfRule>
    <cfRule type="expression" dxfId="368" priority="58">
      <formula>F41&lt;0</formula>
    </cfRule>
  </conditionalFormatting>
  <conditionalFormatting sqref="H41">
    <cfRule type="expression" dxfId="367" priority="35">
      <formula>H41&gt;0</formula>
    </cfRule>
    <cfRule type="expression" dxfId="366" priority="36">
      <formula>H41&lt;0</formula>
    </cfRule>
  </conditionalFormatting>
  <conditionalFormatting sqref="F89:F95">
    <cfRule type="expression" dxfId="365" priority="29">
      <formula>F89&gt;0</formula>
    </cfRule>
    <cfRule type="expression" dxfId="364" priority="30">
      <formula>F89&lt;0</formula>
    </cfRule>
  </conditionalFormatting>
  <conditionalFormatting sqref="F96:F110">
    <cfRule type="expression" dxfId="363" priority="25">
      <formula>F96&gt;0</formula>
    </cfRule>
    <cfRule type="expression" dxfId="362" priority="26">
      <formula>F96&lt;0</formula>
    </cfRule>
  </conditionalFormatting>
  <conditionalFormatting sqref="F96:F110">
    <cfRule type="expression" dxfId="361" priority="27">
      <formula>F96&gt;0</formula>
    </cfRule>
    <cfRule type="expression" dxfId="360" priority="28">
      <formula>F96&lt;0</formula>
    </cfRule>
  </conditionalFormatting>
  <conditionalFormatting sqref="H89:H100">
    <cfRule type="expression" dxfId="359" priority="23">
      <formula>H89&gt;0</formula>
    </cfRule>
    <cfRule type="expression" dxfId="358" priority="24">
      <formula>H89&lt;0</formula>
    </cfRule>
  </conditionalFormatting>
  <conditionalFormatting sqref="H101">
    <cfRule type="expression" dxfId="357" priority="21">
      <formula>H101&gt;0</formula>
    </cfRule>
    <cfRule type="expression" dxfId="356" priority="22">
      <formula>H101&lt;0</formula>
    </cfRule>
  </conditionalFormatting>
  <conditionalFormatting sqref="F111:F116">
    <cfRule type="expression" dxfId="355" priority="19">
      <formula>F111&gt;0</formula>
    </cfRule>
    <cfRule type="expression" dxfId="354" priority="20">
      <formula>F111&lt;0</formula>
    </cfRule>
  </conditionalFormatting>
  <conditionalFormatting sqref="H103:H116">
    <cfRule type="expression" dxfId="353" priority="17">
      <formula>H103&gt;0</formula>
    </cfRule>
    <cfRule type="expression" dxfId="352" priority="18">
      <formula>H103&lt;0</formula>
    </cfRule>
  </conditionalFormatting>
  <conditionalFormatting sqref="H102">
    <cfRule type="expression" dxfId="351" priority="15">
      <formula>H102&gt;0</formula>
    </cfRule>
    <cfRule type="expression" dxfId="350" priority="16">
      <formula>H102&lt;0</formula>
    </cfRule>
  </conditionalFormatting>
  <conditionalFormatting sqref="M42">
    <cfRule type="expression" dxfId="349" priority="13">
      <formula>M42&gt;0</formula>
    </cfRule>
    <cfRule type="expression" dxfId="348" priority="14">
      <formula>M42&lt;0</formula>
    </cfRule>
  </conditionalFormatting>
  <conditionalFormatting sqref="Q7">
    <cfRule type="expression" dxfId="347" priority="9">
      <formula>Q7&gt;0</formula>
    </cfRule>
    <cfRule type="expression" dxfId="346" priority="10">
      <formula>Q7&lt;0</formula>
    </cfRule>
  </conditionalFormatting>
  <conditionalFormatting sqref="Q8">
    <cfRule type="expression" dxfId="345" priority="7">
      <formula>Q8&gt;0</formula>
    </cfRule>
    <cfRule type="expression" dxfId="344" priority="8">
      <formula>Q8&lt;0</formula>
    </cfRule>
  </conditionalFormatting>
  <conditionalFormatting sqref="F117:F130 H117:H130">
    <cfRule type="expression" dxfId="343" priority="1">
      <formula>F117&gt;0</formula>
    </cfRule>
    <cfRule type="expression" dxfId="3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42755</v>
      </c>
      <c r="X2" s="10">
        <v>17.850000000000001</v>
      </c>
      <c r="Y2" s="10">
        <v>18.03</v>
      </c>
      <c r="Z2" s="10">
        <v>17.670000000000002</v>
      </c>
      <c r="AA2" s="10">
        <v>17.760000000000002</v>
      </c>
      <c r="AB2" s="95">
        <v>2175000</v>
      </c>
      <c r="AC2" s="10">
        <v>17.760000000000002</v>
      </c>
      <c r="AD2" s="2">
        <f>Y2-Z2</f>
        <v>0.35999999999999943</v>
      </c>
      <c r="AE2" s="138">
        <f>AC2/AC3-1</f>
        <v>-3.9259674705550696E-3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17.760000000000002</v>
      </c>
      <c r="W3" s="133">
        <v>42754</v>
      </c>
      <c r="X3" s="10">
        <v>17.899999999999999</v>
      </c>
      <c r="Y3" s="10">
        <v>18.04</v>
      </c>
      <c r="Z3" s="10">
        <v>17.64</v>
      </c>
      <c r="AA3" s="10">
        <v>17.829999999999998</v>
      </c>
      <c r="AB3" s="95">
        <v>3724200</v>
      </c>
      <c r="AC3" s="10">
        <v>17.829999999999998</v>
      </c>
      <c r="AD3" s="2">
        <f t="shared" ref="AD3:AD66" si="0">Y3-Z3</f>
        <v>0.39999999999999858</v>
      </c>
      <c r="AE3" s="138">
        <f t="shared" ref="AE3:AE66" si="1">AC3/AC4-1</f>
        <v>-2.4617067833698214E-2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17.760000000000002</v>
      </c>
      <c r="R4" s="505">
        <v>-3.8999999999999998E-3</v>
      </c>
      <c r="W4" s="133">
        <v>42753</v>
      </c>
      <c r="X4" s="10">
        <v>17.98</v>
      </c>
      <c r="Y4" s="10">
        <v>18.309999999999999</v>
      </c>
      <c r="Z4" s="10">
        <v>17.559999999999999</v>
      </c>
      <c r="AA4" s="10">
        <v>18.28</v>
      </c>
      <c r="AB4" s="95">
        <v>2682800</v>
      </c>
      <c r="AC4" s="10">
        <v>18.28</v>
      </c>
      <c r="AD4" s="2">
        <f t="shared" si="0"/>
        <v>0.75</v>
      </c>
      <c r="AE4" s="138">
        <f t="shared" si="1"/>
        <v>1.7250973845297946E-2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17.93</v>
      </c>
      <c r="Y5" s="10">
        <v>18.489999999999998</v>
      </c>
      <c r="Z5" s="10">
        <v>17.91</v>
      </c>
      <c r="AA5" s="10">
        <v>17.97</v>
      </c>
      <c r="AB5" s="95">
        <v>2089300</v>
      </c>
      <c r="AC5" s="10">
        <v>17.97</v>
      </c>
      <c r="AD5" s="2">
        <f t="shared" si="0"/>
        <v>0.57999999999999829</v>
      </c>
      <c r="AE5" s="138">
        <f t="shared" si="1"/>
        <v>-7.1823204419890763E-3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18.16</v>
      </c>
      <c r="Y6" s="10">
        <v>18.43</v>
      </c>
      <c r="Z6" s="10">
        <v>17.809999999999999</v>
      </c>
      <c r="AA6" s="10">
        <v>18.100000000000001</v>
      </c>
      <c r="AB6" s="95">
        <v>2793800</v>
      </c>
      <c r="AC6" s="10">
        <v>18.100000000000001</v>
      </c>
      <c r="AD6" s="2">
        <f t="shared" si="0"/>
        <v>0.62000000000000099</v>
      </c>
      <c r="AE6" s="138">
        <f t="shared" si="1"/>
        <v>-3.3039647577092213E-3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42747</v>
      </c>
      <c r="X7" s="10">
        <v>17.850000000000001</v>
      </c>
      <c r="Y7" s="10">
        <v>18.3</v>
      </c>
      <c r="Z7" s="10">
        <v>17.649999999999999</v>
      </c>
      <c r="AA7" s="10">
        <v>18.16</v>
      </c>
      <c r="AB7" s="95">
        <v>3074300</v>
      </c>
      <c r="AC7" s="10">
        <v>18.16</v>
      </c>
      <c r="AD7" s="2">
        <f t="shared" si="0"/>
        <v>0.65000000000000213</v>
      </c>
      <c r="AE7" s="138">
        <f t="shared" si="1"/>
        <v>1.1699164345403856E-2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18.16</v>
      </c>
      <c r="Y8" s="10">
        <v>18.16</v>
      </c>
      <c r="Z8" s="10">
        <v>17.809999999999999</v>
      </c>
      <c r="AA8" s="10">
        <v>17.95</v>
      </c>
      <c r="AB8" s="95">
        <v>2356800</v>
      </c>
      <c r="AC8" s="10">
        <v>17.95</v>
      </c>
      <c r="AD8" s="2">
        <f t="shared" si="0"/>
        <v>0.35000000000000142</v>
      </c>
      <c r="AE8" s="138">
        <f t="shared" si="1"/>
        <v>-1.4277869302581125E-2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17.8</v>
      </c>
      <c r="Y9" s="10">
        <v>18.260000000000002</v>
      </c>
      <c r="Z9" s="10">
        <v>17.8</v>
      </c>
      <c r="AA9" s="10">
        <v>18.21</v>
      </c>
      <c r="AB9" s="95">
        <v>3472000</v>
      </c>
      <c r="AC9" s="10">
        <v>18.21</v>
      </c>
      <c r="AD9" s="2">
        <f t="shared" si="0"/>
        <v>0.46000000000000085</v>
      </c>
      <c r="AE9" s="138">
        <f t="shared" si="1"/>
        <v>2.2459292532285291E-2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M45</f>
        <v>155.90000000000146</v>
      </c>
      <c r="W10" s="133">
        <v>42744</v>
      </c>
      <c r="X10" s="10">
        <v>17.61</v>
      </c>
      <c r="Y10" s="10">
        <v>17.84</v>
      </c>
      <c r="Z10" s="10">
        <v>17.48</v>
      </c>
      <c r="AA10" s="10">
        <v>17.809999999999999</v>
      </c>
      <c r="AB10" s="95">
        <v>2367900</v>
      </c>
      <c r="AC10" s="10">
        <v>17.809999999999999</v>
      </c>
      <c r="AD10" s="2">
        <f t="shared" si="0"/>
        <v>0.35999999999999943</v>
      </c>
      <c r="AE10" s="138">
        <f t="shared" si="1"/>
        <v>1.3083048919226403E-2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18.309999999999999</v>
      </c>
      <c r="Y11" s="10">
        <v>18.36</v>
      </c>
      <c r="Z11" s="10">
        <v>17.5</v>
      </c>
      <c r="AA11" s="10">
        <v>17.579999999999998</v>
      </c>
      <c r="AB11" s="95">
        <v>4245200</v>
      </c>
      <c r="AC11" s="10">
        <v>17.579999999999998</v>
      </c>
      <c r="AD11" s="2">
        <f t="shared" si="0"/>
        <v>0.85999999999999943</v>
      </c>
      <c r="AE11" s="138">
        <f t="shared" si="1"/>
        <v>-3.723986856516992E-2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42740</v>
      </c>
      <c r="X12" s="10">
        <v>17.62</v>
      </c>
      <c r="Y12" s="10">
        <v>18.29</v>
      </c>
      <c r="Z12" s="10">
        <v>17.440000000000001</v>
      </c>
      <c r="AA12" s="10">
        <v>18.260000000000002</v>
      </c>
      <c r="AB12" s="95">
        <v>6254000</v>
      </c>
      <c r="AC12" s="10">
        <v>18.260000000000002</v>
      </c>
      <c r="AD12" s="2">
        <f t="shared" si="0"/>
        <v>0.84999999999999787</v>
      </c>
      <c r="AE12" s="138">
        <f t="shared" si="1"/>
        <v>6.6152149944873617E-3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42739</v>
      </c>
      <c r="X13" s="10">
        <v>17.91</v>
      </c>
      <c r="Y13" s="10">
        <v>18.440000000000001</v>
      </c>
      <c r="Z13" s="10">
        <v>17.78</v>
      </c>
      <c r="AA13" s="10">
        <v>18.14</v>
      </c>
      <c r="AB13" s="95">
        <v>6919900</v>
      </c>
      <c r="AC13" s="10">
        <v>18.14</v>
      </c>
      <c r="AD13" s="2">
        <f t="shared" si="0"/>
        <v>0.66000000000000014</v>
      </c>
      <c r="AE13" s="138">
        <f t="shared" si="1"/>
        <v>1.6816143497757841E-2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42738</v>
      </c>
      <c r="X14" s="10">
        <v>18.7</v>
      </c>
      <c r="Y14" s="10">
        <v>18.77</v>
      </c>
      <c r="Z14" s="10">
        <v>17.39</v>
      </c>
      <c r="AA14" s="10">
        <v>17.84</v>
      </c>
      <c r="AB14" s="95">
        <v>7907500</v>
      </c>
      <c r="AC14" s="10">
        <v>17.84</v>
      </c>
      <c r="AD14" s="2">
        <f t="shared" si="0"/>
        <v>1.379999999999999</v>
      </c>
      <c r="AE14" s="138">
        <f t="shared" si="1"/>
        <v>-4.4456347080878533E-2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42734</v>
      </c>
      <c r="X15" s="10">
        <v>18.87</v>
      </c>
      <c r="Y15" s="10">
        <v>19.45</v>
      </c>
      <c r="Z15" s="10">
        <v>18.57</v>
      </c>
      <c r="AA15" s="10">
        <v>18.670000000000002</v>
      </c>
      <c r="AB15" s="95">
        <v>10686800</v>
      </c>
      <c r="AC15" s="10">
        <v>18.670000000000002</v>
      </c>
      <c r="AD15" s="2">
        <f t="shared" si="0"/>
        <v>0.87999999999999901</v>
      </c>
      <c r="AE15" s="138">
        <f t="shared" si="1"/>
        <v>9.7349918875069275E-3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42733</v>
      </c>
      <c r="X16" s="10">
        <v>17.64</v>
      </c>
      <c r="Y16" s="10">
        <v>18.649999999999999</v>
      </c>
      <c r="Z16" s="10">
        <v>17.16</v>
      </c>
      <c r="AA16" s="10">
        <v>18.489999999999998</v>
      </c>
      <c r="AB16" s="95">
        <v>14320900</v>
      </c>
      <c r="AC16" s="10">
        <v>18.489999999999998</v>
      </c>
      <c r="AD16" s="2">
        <f t="shared" si="0"/>
        <v>1.4899999999999984</v>
      </c>
      <c r="AE16" s="138">
        <f t="shared" si="1"/>
        <v>3.5274356103023541E-2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42732</v>
      </c>
      <c r="X17" s="10">
        <v>14.58</v>
      </c>
      <c r="Y17" s="10">
        <v>18.3</v>
      </c>
      <c r="Z17" s="10">
        <v>14.31</v>
      </c>
      <c r="AA17" s="10">
        <v>17.86</v>
      </c>
      <c r="AB17" s="95">
        <v>22625000</v>
      </c>
      <c r="AC17" s="10">
        <v>17.86</v>
      </c>
      <c r="AD17" s="2">
        <f t="shared" si="0"/>
        <v>3.99</v>
      </c>
      <c r="AE17" s="138">
        <f t="shared" si="1"/>
        <v>0.23087525844245338</v>
      </c>
    </row>
    <row r="18" spans="1:31" x14ac:dyDescent="0.25">
      <c r="W18" s="133">
        <v>42731</v>
      </c>
      <c r="X18" s="10">
        <v>14.17</v>
      </c>
      <c r="Y18" s="10">
        <v>14.58</v>
      </c>
      <c r="Z18" s="10">
        <v>14.07</v>
      </c>
      <c r="AA18" s="10">
        <v>14.51</v>
      </c>
      <c r="AB18" s="95">
        <v>2268800</v>
      </c>
      <c r="AC18" s="10">
        <v>14.51</v>
      </c>
      <c r="AD18" s="2">
        <f t="shared" si="0"/>
        <v>0.50999999999999979</v>
      </c>
      <c r="AE18" s="138">
        <f t="shared" si="1"/>
        <v>2.5441696113074119E-2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42727</v>
      </c>
      <c r="X19" s="10">
        <v>14.18</v>
      </c>
      <c r="Y19" s="10">
        <v>14.43</v>
      </c>
      <c r="Z19" s="10">
        <v>14.1</v>
      </c>
      <c r="AA19" s="10">
        <v>14.15</v>
      </c>
      <c r="AB19" s="95">
        <v>1691000</v>
      </c>
      <c r="AC19" s="10">
        <v>14.15</v>
      </c>
      <c r="AD19" s="2">
        <f t="shared" si="0"/>
        <v>0.33000000000000007</v>
      </c>
      <c r="AE19" s="138">
        <f t="shared" si="1"/>
        <v>9.2724679029958512E-3</v>
      </c>
    </row>
    <row r="20" spans="1:31" x14ac:dyDescent="0.25">
      <c r="W20" s="133">
        <v>42726</v>
      </c>
      <c r="X20" s="10">
        <v>14.55</v>
      </c>
      <c r="Y20" s="10">
        <v>14.59</v>
      </c>
      <c r="Z20" s="10">
        <v>14.02</v>
      </c>
      <c r="AA20" s="10">
        <v>14.02</v>
      </c>
      <c r="AB20" s="95">
        <v>2546400</v>
      </c>
      <c r="AC20" s="10">
        <v>14.02</v>
      </c>
      <c r="AD20" s="2">
        <f t="shared" si="0"/>
        <v>0.57000000000000028</v>
      </c>
      <c r="AE20" s="138">
        <f t="shared" si="1"/>
        <v>-3.9726027397260277E-2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14.6</v>
      </c>
      <c r="Y21" s="10">
        <v>14.69</v>
      </c>
      <c r="Z21" s="10">
        <v>14.46</v>
      </c>
      <c r="AA21" s="10">
        <v>14.6</v>
      </c>
      <c r="AB21" s="95">
        <v>1676000</v>
      </c>
      <c r="AC21" s="10">
        <v>14.6</v>
      </c>
      <c r="AD21" s="2">
        <f t="shared" si="0"/>
        <v>0.22999999999999865</v>
      </c>
      <c r="AE21" s="138">
        <f t="shared" si="1"/>
        <v>-6.8027210884353817E-3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42724</v>
      </c>
      <c r="X22" s="10">
        <v>14.52</v>
      </c>
      <c r="Y22" s="10">
        <v>14.79</v>
      </c>
      <c r="Z22" s="10">
        <v>14.43</v>
      </c>
      <c r="AA22" s="10">
        <v>14.7</v>
      </c>
      <c r="AB22" s="95">
        <v>3427100</v>
      </c>
      <c r="AC22" s="10">
        <v>14.7</v>
      </c>
      <c r="AD22" s="2">
        <f t="shared" si="0"/>
        <v>0.35999999999999943</v>
      </c>
      <c r="AE22" s="138">
        <f t="shared" si="1"/>
        <v>1.5193370165745845E-2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42723</v>
      </c>
      <c r="X23" s="10">
        <v>14.64</v>
      </c>
      <c r="Y23" s="10">
        <v>14.74</v>
      </c>
      <c r="Z23" s="10">
        <v>14.4</v>
      </c>
      <c r="AA23" s="10">
        <v>14.48</v>
      </c>
      <c r="AB23" s="95">
        <v>2036500</v>
      </c>
      <c r="AC23" s="10">
        <v>14.48</v>
      </c>
      <c r="AD23" s="2">
        <f t="shared" si="0"/>
        <v>0.33999999999999986</v>
      </c>
      <c r="AE23" s="138">
        <f t="shared" si="1"/>
        <v>-6.1770761839395893E-3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42720</v>
      </c>
      <c r="X24" s="10">
        <v>14.9</v>
      </c>
      <c r="Y24" s="10">
        <v>14.95</v>
      </c>
      <c r="Z24" s="10">
        <v>14.41</v>
      </c>
      <c r="AA24" s="10">
        <v>14.57</v>
      </c>
      <c r="AB24" s="95">
        <v>3440000</v>
      </c>
      <c r="AC24" s="10">
        <v>14.57</v>
      </c>
      <c r="AD24" s="2">
        <f t="shared" si="0"/>
        <v>0.53999999999999915</v>
      </c>
      <c r="AE24" s="138">
        <f t="shared" si="1"/>
        <v>-2.2147651006711455E-2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42719</v>
      </c>
      <c r="X25" s="10">
        <v>15.3</v>
      </c>
      <c r="Y25" s="10">
        <v>15.33</v>
      </c>
      <c r="Z25" s="10">
        <v>14.74</v>
      </c>
      <c r="AA25" s="10">
        <v>14.9</v>
      </c>
      <c r="AB25" s="95">
        <v>2771000</v>
      </c>
      <c r="AC25" s="10">
        <v>14.9</v>
      </c>
      <c r="AD25" s="2">
        <f t="shared" si="0"/>
        <v>0.58999999999999986</v>
      </c>
      <c r="AE25" s="138">
        <f t="shared" si="1"/>
        <v>-2.550686723348583E-2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42718</v>
      </c>
      <c r="X26" s="10">
        <v>15.48</v>
      </c>
      <c r="Y26" s="10">
        <v>15.57</v>
      </c>
      <c r="Z26" s="10">
        <v>14.85</v>
      </c>
      <c r="AA26" s="10">
        <v>15.29</v>
      </c>
      <c r="AB26" s="95">
        <v>3704700</v>
      </c>
      <c r="AC26" s="10">
        <v>15.29</v>
      </c>
      <c r="AD26" s="2">
        <f t="shared" si="0"/>
        <v>0.72000000000000064</v>
      </c>
      <c r="AE26" s="138">
        <f t="shared" si="1"/>
        <v>-1.4184397163120588E-2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42717</v>
      </c>
      <c r="X27" s="10">
        <v>15.68</v>
      </c>
      <c r="Y27" s="10">
        <v>15.74</v>
      </c>
      <c r="Z27" s="10">
        <v>15.23</v>
      </c>
      <c r="AA27" s="10">
        <v>15.51</v>
      </c>
      <c r="AB27" s="95">
        <v>2175900</v>
      </c>
      <c r="AC27" s="10">
        <v>15.51</v>
      </c>
      <c r="AD27" s="2">
        <f t="shared" si="0"/>
        <v>0.50999999999999979</v>
      </c>
      <c r="AE27" s="138">
        <f t="shared" si="1"/>
        <v>-4.49293966623876E-3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42716</v>
      </c>
      <c r="X28" s="10">
        <v>16.64</v>
      </c>
      <c r="Y28" s="10">
        <v>16.690000000000001</v>
      </c>
      <c r="Z28" s="10">
        <v>15.56</v>
      </c>
      <c r="AA28" s="10">
        <v>15.58</v>
      </c>
      <c r="AB28" s="95">
        <v>2799900</v>
      </c>
      <c r="AC28" s="10">
        <v>15.58</v>
      </c>
      <c r="AD28" s="2">
        <f t="shared" si="0"/>
        <v>1.1300000000000008</v>
      </c>
      <c r="AE28" s="138">
        <f t="shared" si="1"/>
        <v>-6.8181818181818121E-2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42713</v>
      </c>
      <c r="X29" s="10">
        <v>17.010000000000002</v>
      </c>
      <c r="Y29" s="10">
        <v>17.100000000000001</v>
      </c>
      <c r="Z29" s="10">
        <v>16.559999999999999</v>
      </c>
      <c r="AA29" s="10">
        <v>16.72</v>
      </c>
      <c r="AB29" s="95">
        <v>2752100</v>
      </c>
      <c r="AC29" s="10">
        <v>16.72</v>
      </c>
      <c r="AD29" s="2">
        <f t="shared" si="0"/>
        <v>0.5400000000000027</v>
      </c>
      <c r="AE29" s="138">
        <f t="shared" si="1"/>
        <v>-1.7048794826572733E-2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15.84</v>
      </c>
      <c r="Y30" s="10">
        <v>17.28</v>
      </c>
      <c r="Z30" s="10">
        <v>15.75</v>
      </c>
      <c r="AA30" s="10">
        <v>17.010000000000002</v>
      </c>
      <c r="AB30" s="95">
        <v>5686000</v>
      </c>
      <c r="AC30" s="10">
        <v>17.010000000000002</v>
      </c>
      <c r="AD30" s="2">
        <f t="shared" si="0"/>
        <v>1.5300000000000011</v>
      </c>
      <c r="AE30" s="138">
        <f t="shared" si="1"/>
        <v>8.2749840865690594E-2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15.44</v>
      </c>
      <c r="Y31" s="10">
        <v>15.71</v>
      </c>
      <c r="Z31" s="10">
        <v>15.39</v>
      </c>
      <c r="AA31" s="10">
        <v>15.71</v>
      </c>
      <c r="AB31" s="95">
        <v>2124300</v>
      </c>
      <c r="AC31" s="10">
        <v>15.71</v>
      </c>
      <c r="AD31" s="2">
        <f t="shared" si="0"/>
        <v>0.32000000000000028</v>
      </c>
      <c r="AE31" s="138">
        <f t="shared" si="1"/>
        <v>2.012987012987022E-2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15.35</v>
      </c>
      <c r="Y32" s="10">
        <v>15.49</v>
      </c>
      <c r="Z32" s="10">
        <v>15.21</v>
      </c>
      <c r="AA32" s="10">
        <v>15.4</v>
      </c>
      <c r="AB32" s="95">
        <v>1654300</v>
      </c>
      <c r="AC32" s="10">
        <v>15.4</v>
      </c>
      <c r="AD32" s="2">
        <f t="shared" si="0"/>
        <v>0.27999999999999936</v>
      </c>
      <c r="AE32" s="138">
        <f t="shared" si="1"/>
        <v>7.1942446043167241E-3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42709</v>
      </c>
      <c r="X33" s="10">
        <v>14.88</v>
      </c>
      <c r="Y33" s="10">
        <v>15.49</v>
      </c>
      <c r="Z33" s="10">
        <v>14.87</v>
      </c>
      <c r="AA33" s="10">
        <v>15.29</v>
      </c>
      <c r="AB33" s="95">
        <v>2324000</v>
      </c>
      <c r="AC33" s="10">
        <v>15.29</v>
      </c>
      <c r="AD33" s="2">
        <f t="shared" si="0"/>
        <v>0.62000000000000099</v>
      </c>
      <c r="AE33" s="138">
        <f t="shared" si="1"/>
        <v>2.9629629629629672E-2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14.45</v>
      </c>
      <c r="Y34" s="10">
        <v>15.1</v>
      </c>
      <c r="Z34" s="10">
        <v>14.4</v>
      </c>
      <c r="AA34" s="10">
        <v>14.85</v>
      </c>
      <c r="AB34" s="95">
        <v>2958400</v>
      </c>
      <c r="AC34" s="10">
        <v>14.85</v>
      </c>
      <c r="AD34" s="2">
        <f t="shared" si="0"/>
        <v>0.69999999999999929</v>
      </c>
      <c r="AE34" s="138">
        <f t="shared" si="1"/>
        <v>3.125E-2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14.94</v>
      </c>
      <c r="Y35" s="10">
        <v>15.13</v>
      </c>
      <c r="Z35" s="10">
        <v>14.34</v>
      </c>
      <c r="AA35" s="10">
        <v>14.4</v>
      </c>
      <c r="AB35" s="95">
        <v>3414000</v>
      </c>
      <c r="AC35" s="10">
        <v>14.4</v>
      </c>
      <c r="AD35" s="2">
        <f t="shared" si="0"/>
        <v>0.79000000000000092</v>
      </c>
      <c r="AE35" s="138">
        <f t="shared" si="1"/>
        <v>-3.0303030303030276E-2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15.39</v>
      </c>
      <c r="Y36" s="10">
        <v>15.49</v>
      </c>
      <c r="Z36" s="10">
        <v>14.75</v>
      </c>
      <c r="AA36" s="10">
        <v>14.85</v>
      </c>
      <c r="AB36" s="95">
        <v>3447000</v>
      </c>
      <c r="AC36" s="10">
        <v>14.85</v>
      </c>
      <c r="AD36" s="2">
        <f t="shared" si="0"/>
        <v>0.74000000000000021</v>
      </c>
      <c r="AE36" s="138">
        <f t="shared" si="1"/>
        <v>-3.2573289902280145E-2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15.82</v>
      </c>
      <c r="Y37" s="10">
        <v>15.89</v>
      </c>
      <c r="Z37" s="10">
        <v>15.32</v>
      </c>
      <c r="AA37" s="10">
        <v>15.35</v>
      </c>
      <c r="AB37" s="95">
        <v>4580900</v>
      </c>
      <c r="AC37" s="10">
        <v>15.35</v>
      </c>
      <c r="AD37" s="2">
        <f t="shared" si="0"/>
        <v>0.57000000000000028</v>
      </c>
      <c r="AE37" s="138">
        <f t="shared" si="1"/>
        <v>-2.4777636594663366E-2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16</v>
      </c>
      <c r="Y38" s="10">
        <v>16.09</v>
      </c>
      <c r="Z38" s="10">
        <v>15.69</v>
      </c>
      <c r="AA38" s="10">
        <v>15.74</v>
      </c>
      <c r="AB38" s="95">
        <v>1932000</v>
      </c>
      <c r="AC38" s="10">
        <v>15.74</v>
      </c>
      <c r="AD38" s="2">
        <f t="shared" si="0"/>
        <v>0.40000000000000036</v>
      </c>
      <c r="AE38" s="138">
        <f t="shared" si="1"/>
        <v>-1.7478152309612915E-2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16.52</v>
      </c>
      <c r="Y39" s="10">
        <v>16.54</v>
      </c>
      <c r="Z39" s="10">
        <v>15.94</v>
      </c>
      <c r="AA39" s="10">
        <v>16.02</v>
      </c>
      <c r="AB39" s="95">
        <v>1080300</v>
      </c>
      <c r="AC39" s="10">
        <v>16.02</v>
      </c>
      <c r="AD39" s="2">
        <f t="shared" si="0"/>
        <v>0.59999999999999964</v>
      </c>
      <c r="AE39" s="138">
        <f t="shared" si="1"/>
        <v>-2.0183486238532167E-2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42697</v>
      </c>
      <c r="X40" s="10">
        <v>16.3</v>
      </c>
      <c r="Y40" s="10">
        <v>16.579999999999998</v>
      </c>
      <c r="Z40" s="10">
        <v>16.149999999999999</v>
      </c>
      <c r="AA40" s="10">
        <v>16.350000000000001</v>
      </c>
      <c r="AB40" s="95">
        <v>2245800</v>
      </c>
      <c r="AC40" s="10">
        <v>16.350000000000001</v>
      </c>
      <c r="AD40" s="2">
        <f t="shared" si="0"/>
        <v>0.42999999999999972</v>
      </c>
      <c r="AE40" s="138">
        <f t="shared" si="1"/>
        <v>-2.1543985637342833E-2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42696</v>
      </c>
      <c r="X41" s="10">
        <v>16.05</v>
      </c>
      <c r="Y41" s="10">
        <v>16.73</v>
      </c>
      <c r="Z41" s="10">
        <v>15.94</v>
      </c>
      <c r="AA41" s="10">
        <v>16.71</v>
      </c>
      <c r="AB41" s="95">
        <v>2671000</v>
      </c>
      <c r="AC41" s="10">
        <v>16.71</v>
      </c>
      <c r="AD41" s="2">
        <f t="shared" si="0"/>
        <v>0.79000000000000092</v>
      </c>
      <c r="AE41" s="138">
        <f t="shared" si="1"/>
        <v>2.5782688766114337E-2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42695</v>
      </c>
      <c r="X42" s="10">
        <v>16.399999999999999</v>
      </c>
      <c r="Y42" s="10">
        <v>16.55</v>
      </c>
      <c r="Z42" s="10">
        <v>16.22</v>
      </c>
      <c r="AA42" s="10">
        <v>16.29</v>
      </c>
      <c r="AB42" s="95">
        <v>2564700</v>
      </c>
      <c r="AC42" s="10">
        <v>16.29</v>
      </c>
      <c r="AD42" s="2">
        <f t="shared" si="0"/>
        <v>0.33000000000000185</v>
      </c>
      <c r="AE42" s="138">
        <f t="shared" si="1"/>
        <v>-6.1012812690666163E-3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17.829999999999998</v>
      </c>
      <c r="W43" s="133">
        <v>42692</v>
      </c>
      <c r="X43" s="10">
        <v>16.91</v>
      </c>
      <c r="Y43" s="10">
        <v>16.96</v>
      </c>
      <c r="Z43" s="10">
        <v>16.350000000000001</v>
      </c>
      <c r="AA43" s="10">
        <v>16.39</v>
      </c>
      <c r="AB43" s="95">
        <v>3246400</v>
      </c>
      <c r="AC43" s="10">
        <v>16.39</v>
      </c>
      <c r="AD43" s="2">
        <f t="shared" si="0"/>
        <v>0.60999999999999943</v>
      </c>
      <c r="AE43" s="138">
        <f t="shared" si="1"/>
        <v>-3.4177961107837218E-2</v>
      </c>
    </row>
    <row r="44" spans="1:31" ht="20.25" thickBot="1" x14ac:dyDescent="0.35">
      <c r="O44" s="632" t="s">
        <v>78</v>
      </c>
      <c r="P44" s="632"/>
      <c r="T44" s="93" t="s">
        <v>99</v>
      </c>
      <c r="U44" s="88">
        <v>17.850000000000001</v>
      </c>
      <c r="W44" s="133">
        <v>42691</v>
      </c>
      <c r="X44" s="10">
        <v>17.309999999999999</v>
      </c>
      <c r="Y44" s="10">
        <v>17.45</v>
      </c>
      <c r="Z44" s="10">
        <v>16.809999999999999</v>
      </c>
      <c r="AA44" s="10">
        <v>16.97</v>
      </c>
      <c r="AB44" s="95">
        <v>3535300</v>
      </c>
      <c r="AC44" s="10">
        <v>16.97</v>
      </c>
      <c r="AD44" s="2">
        <f t="shared" si="0"/>
        <v>0.64000000000000057</v>
      </c>
      <c r="AE44" s="138">
        <f t="shared" si="1"/>
        <v>-1.5089959373186357E-2</v>
      </c>
    </row>
    <row r="45" spans="1:31" ht="15.75" thickTop="1" x14ac:dyDescent="0.25">
      <c r="L45" t="s">
        <v>214</v>
      </c>
      <c r="M45" s="2">
        <f>M64+K64-F64</f>
        <v>155.90000000000146</v>
      </c>
      <c r="O45" s="83">
        <v>1.1000000000000001</v>
      </c>
      <c r="P45" s="83">
        <f>O45*$Q$4</f>
        <v>19.536000000000005</v>
      </c>
      <c r="Q45" s="2"/>
      <c r="T45" s="93" t="s">
        <v>100</v>
      </c>
      <c r="U45" s="88" t="s">
        <v>129</v>
      </c>
      <c r="W45" s="133">
        <v>42690</v>
      </c>
      <c r="X45" s="10">
        <v>17.350000000000001</v>
      </c>
      <c r="Y45" s="10">
        <v>17.440000000000001</v>
      </c>
      <c r="Z45" s="10">
        <v>17.2</v>
      </c>
      <c r="AA45" s="10">
        <v>17.23</v>
      </c>
      <c r="AB45" s="95">
        <v>1062900</v>
      </c>
      <c r="AC45" s="10">
        <v>17.23</v>
      </c>
      <c r="AD45" s="2">
        <f t="shared" si="0"/>
        <v>0.24000000000000199</v>
      </c>
      <c r="AE45" s="138">
        <f t="shared" si="1"/>
        <v>-9.7701149425286626E-3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19.358400000000003</v>
      </c>
      <c r="Q46" s="2"/>
      <c r="T46" s="93" t="s">
        <v>101</v>
      </c>
      <c r="U46" s="88" t="s">
        <v>129</v>
      </c>
      <c r="W46" s="133">
        <v>42689</v>
      </c>
      <c r="X46" s="10">
        <v>17.829999999999998</v>
      </c>
      <c r="Y46" s="10">
        <v>17.93</v>
      </c>
      <c r="Z46" s="10">
        <v>17.07</v>
      </c>
      <c r="AA46" s="10">
        <v>17.399999999999999</v>
      </c>
      <c r="AB46" s="95">
        <v>2279300</v>
      </c>
      <c r="AC46" s="10">
        <v>17.399999999999999</v>
      </c>
      <c r="AD46" s="2">
        <f t="shared" si="0"/>
        <v>0.85999999999999943</v>
      </c>
      <c r="AE46" s="138">
        <f t="shared" si="1"/>
        <v>-2.9559397657557218E-2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19.180800000000001</v>
      </c>
      <c r="Q47" s="2"/>
      <c r="T47" s="93" t="s">
        <v>102</v>
      </c>
      <c r="U47" s="88">
        <v>19.87</v>
      </c>
      <c r="W47" s="133">
        <v>42688</v>
      </c>
      <c r="X47" s="10">
        <v>17.170000000000002</v>
      </c>
      <c r="Y47" s="10">
        <v>18.34</v>
      </c>
      <c r="Z47" s="10">
        <v>16.899999999999999</v>
      </c>
      <c r="AA47" s="10">
        <v>17.93</v>
      </c>
      <c r="AB47" s="95">
        <v>8302200</v>
      </c>
      <c r="AC47" s="10">
        <v>17.93</v>
      </c>
      <c r="AD47" s="2">
        <f t="shared" si="0"/>
        <v>1.4400000000000013</v>
      </c>
      <c r="AE47" s="138">
        <f t="shared" si="1"/>
        <v>7.8820697954271823E-2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19.003200000000003</v>
      </c>
      <c r="Q48" s="2"/>
      <c r="T48" s="93" t="s">
        <v>103</v>
      </c>
      <c r="U48" s="88">
        <v>1.3045800000000001</v>
      </c>
      <c r="W48" s="133">
        <v>42685</v>
      </c>
      <c r="X48" s="10">
        <v>16.48</v>
      </c>
      <c r="Y48" s="10">
        <v>16.73</v>
      </c>
      <c r="Z48" s="10">
        <v>16.32</v>
      </c>
      <c r="AA48" s="10">
        <v>16.62</v>
      </c>
      <c r="AB48" s="95">
        <v>4147000</v>
      </c>
      <c r="AC48" s="10">
        <v>16.62</v>
      </c>
      <c r="AD48" s="2">
        <f t="shared" si="0"/>
        <v>0.41000000000000014</v>
      </c>
      <c r="AE48" s="138">
        <f t="shared" si="1"/>
        <v>4.229607250755274E-3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18.825600000000001</v>
      </c>
      <c r="Q49" s="2"/>
      <c r="T49" s="93" t="s">
        <v>104</v>
      </c>
      <c r="U49" s="88" t="s">
        <v>342</v>
      </c>
      <c r="W49" s="133">
        <v>42684</v>
      </c>
      <c r="X49" s="10">
        <v>16.36</v>
      </c>
      <c r="Y49" s="10">
        <v>17</v>
      </c>
      <c r="Z49" s="10">
        <v>16.09</v>
      </c>
      <c r="AA49" s="10">
        <v>16.55</v>
      </c>
      <c r="AB49" s="95">
        <v>3068200</v>
      </c>
      <c r="AC49" s="10">
        <v>16.55</v>
      </c>
      <c r="AD49" s="2">
        <f t="shared" si="0"/>
        <v>0.91000000000000014</v>
      </c>
      <c r="AE49" s="138">
        <f t="shared" si="1"/>
        <v>3.2439176543979986E-2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18.648000000000003</v>
      </c>
      <c r="Q50" s="2"/>
      <c r="T50" s="93"/>
      <c r="U50" s="88"/>
      <c r="W50" s="133">
        <v>42683</v>
      </c>
      <c r="X50" s="10">
        <v>15.36</v>
      </c>
      <c r="Y50" s="10">
        <v>16.12</v>
      </c>
      <c r="Z50" s="10">
        <v>15.03</v>
      </c>
      <c r="AA50" s="10">
        <v>16.03</v>
      </c>
      <c r="AB50" s="95">
        <v>4814400</v>
      </c>
      <c r="AC50" s="10">
        <v>16.03</v>
      </c>
      <c r="AD50" s="2">
        <f t="shared" si="0"/>
        <v>1.0900000000000016</v>
      </c>
      <c r="AE50" s="138">
        <f t="shared" si="1"/>
        <v>2.1019108280254883E-2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18.470400000000001</v>
      </c>
      <c r="Q51" s="2"/>
      <c r="T51" s="93" t="s">
        <v>105</v>
      </c>
      <c r="U51" s="88" t="s">
        <v>555</v>
      </c>
      <c r="W51" s="133">
        <v>42682</v>
      </c>
      <c r="X51" s="10">
        <v>15.9</v>
      </c>
      <c r="Y51" s="10">
        <v>15.9</v>
      </c>
      <c r="Z51" s="10">
        <v>15.38</v>
      </c>
      <c r="AA51" s="10">
        <v>15.7</v>
      </c>
      <c r="AB51" s="95">
        <v>2976700</v>
      </c>
      <c r="AC51" s="10">
        <v>15.7</v>
      </c>
      <c r="AD51" s="2">
        <f t="shared" si="0"/>
        <v>0.51999999999999957</v>
      </c>
      <c r="AE51" s="138">
        <f t="shared" si="1"/>
        <v>-1.3819095477387022E-2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18.292800000000003</v>
      </c>
      <c r="Q52" s="2"/>
      <c r="T52" s="93" t="s">
        <v>106</v>
      </c>
      <c r="U52" s="88" t="s">
        <v>388</v>
      </c>
      <c r="W52" s="133">
        <v>42681</v>
      </c>
      <c r="X52" s="10">
        <v>15.88</v>
      </c>
      <c r="Y52" s="10">
        <v>16.190000000000001</v>
      </c>
      <c r="Z52" s="10">
        <v>15.74</v>
      </c>
      <c r="AA52" s="10">
        <v>15.92</v>
      </c>
      <c r="AB52" s="95">
        <v>3187300</v>
      </c>
      <c r="AC52" s="10">
        <v>15.92</v>
      </c>
      <c r="AD52" s="2">
        <f t="shared" si="0"/>
        <v>0.45000000000000107</v>
      </c>
      <c r="AE52" s="138">
        <f t="shared" si="1"/>
        <v>2.2479126525369209E-2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18.115200000000002</v>
      </c>
      <c r="Q53" s="2"/>
      <c r="T53" s="93" t="s">
        <v>107</v>
      </c>
      <c r="U53" s="90">
        <v>2190684</v>
      </c>
      <c r="W53" s="133">
        <v>42678</v>
      </c>
      <c r="X53" s="10">
        <v>15.02</v>
      </c>
      <c r="Y53" s="10">
        <v>16.16</v>
      </c>
      <c r="Z53" s="10">
        <v>15</v>
      </c>
      <c r="AA53" s="10">
        <v>15.57</v>
      </c>
      <c r="AB53" s="95">
        <v>4563600</v>
      </c>
      <c r="AC53" s="10">
        <v>15.57</v>
      </c>
      <c r="AD53" s="2">
        <f t="shared" si="0"/>
        <v>1.1600000000000001</v>
      </c>
      <c r="AE53" s="138">
        <f t="shared" si="1"/>
        <v>2.7722772277227747E-2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17.937600000000003</v>
      </c>
      <c r="Q54" s="2"/>
      <c r="T54" s="93" t="s">
        <v>110</v>
      </c>
      <c r="U54" s="90">
        <v>4081640</v>
      </c>
      <c r="W54" s="133">
        <v>42677</v>
      </c>
      <c r="X54" s="10">
        <v>14.71</v>
      </c>
      <c r="Y54" s="10">
        <v>15.24</v>
      </c>
      <c r="Z54" s="10">
        <v>14.26</v>
      </c>
      <c r="AA54" s="10">
        <v>15.15</v>
      </c>
      <c r="AB54" s="95">
        <v>6556200</v>
      </c>
      <c r="AC54" s="10">
        <v>15.15</v>
      </c>
      <c r="AD54" s="2">
        <f t="shared" si="0"/>
        <v>0.98000000000000043</v>
      </c>
      <c r="AE54" s="138">
        <f t="shared" si="1"/>
        <v>3.2719836400818103E-2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17.760000000000002</v>
      </c>
      <c r="Q55" s="2"/>
      <c r="T55" s="93" t="s">
        <v>108</v>
      </c>
      <c r="U55" s="88" t="s">
        <v>448</v>
      </c>
      <c r="W55" s="133">
        <v>42676</v>
      </c>
      <c r="X55" s="10">
        <v>14.75</v>
      </c>
      <c r="Y55" s="10">
        <v>16.100000000000001</v>
      </c>
      <c r="Z55" s="10">
        <v>14.32</v>
      </c>
      <c r="AA55" s="10">
        <v>14.67</v>
      </c>
      <c r="AB55" s="95">
        <v>11904300</v>
      </c>
      <c r="AC55" s="10">
        <v>14.67</v>
      </c>
      <c r="AD55" s="2">
        <f t="shared" si="0"/>
        <v>1.7800000000000011</v>
      </c>
      <c r="AE55" s="138">
        <f t="shared" si="1"/>
        <v>-0.10165339865278622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17.5824</v>
      </c>
      <c r="Q56" s="2"/>
      <c r="T56" s="93" t="s">
        <v>111</v>
      </c>
      <c r="U56" s="88">
        <v>17.809999999999999</v>
      </c>
      <c r="W56" s="133">
        <v>42675</v>
      </c>
      <c r="X56" s="10">
        <v>16.920000000000002</v>
      </c>
      <c r="Y56" s="10">
        <v>17.28</v>
      </c>
      <c r="Z56" s="10">
        <v>16.07</v>
      </c>
      <c r="AA56" s="10">
        <v>16.329999999999998</v>
      </c>
      <c r="AB56" s="95">
        <v>4818000</v>
      </c>
      <c r="AC56" s="10">
        <v>16.329999999999998</v>
      </c>
      <c r="AD56" s="2">
        <f t="shared" si="0"/>
        <v>1.2100000000000009</v>
      </c>
      <c r="AE56" s="138">
        <f t="shared" si="1"/>
        <v>-2.5074626865671745E-2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17.404800000000002</v>
      </c>
      <c r="Q57" s="2"/>
      <c r="T57" s="93" t="s">
        <v>112</v>
      </c>
      <c r="U57" s="88">
        <v>1</v>
      </c>
      <c r="W57" s="133">
        <v>42674</v>
      </c>
      <c r="X57" s="10">
        <v>16.27</v>
      </c>
      <c r="Y57" s="10">
        <v>16.87</v>
      </c>
      <c r="Z57" s="10">
        <v>16.059999999999999</v>
      </c>
      <c r="AA57" s="10">
        <v>16.75</v>
      </c>
      <c r="AB57" s="95">
        <v>4636000</v>
      </c>
      <c r="AC57" s="10">
        <v>16.75</v>
      </c>
      <c r="AD57" s="2">
        <f t="shared" si="0"/>
        <v>0.81000000000000227</v>
      </c>
      <c r="AE57" s="138">
        <f t="shared" si="1"/>
        <v>2.6977314530962637E-2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17.2272</v>
      </c>
      <c r="T58" s="93" t="s">
        <v>109</v>
      </c>
      <c r="U58" s="88" t="s">
        <v>123</v>
      </c>
      <c r="W58" s="133">
        <v>42671</v>
      </c>
      <c r="X58" s="10">
        <v>16.25</v>
      </c>
      <c r="Y58" s="10">
        <v>16.54</v>
      </c>
      <c r="Z58" s="10">
        <v>16.21</v>
      </c>
      <c r="AA58" s="10">
        <v>16.309999999999999</v>
      </c>
      <c r="AB58" s="95">
        <v>2861300</v>
      </c>
      <c r="AC58" s="10">
        <v>16.309999999999999</v>
      </c>
      <c r="AD58" s="2">
        <f t="shared" si="0"/>
        <v>0.32999999999999829</v>
      </c>
      <c r="AE58" s="138">
        <f t="shared" si="1"/>
        <v>-3.6652412950520796E-3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17.049600000000002</v>
      </c>
      <c r="W59" s="133">
        <v>42670</v>
      </c>
      <c r="X59" s="10">
        <v>16.73</v>
      </c>
      <c r="Y59" s="10">
        <v>16.78</v>
      </c>
      <c r="Z59" s="10">
        <v>16.23</v>
      </c>
      <c r="AA59" s="10">
        <v>16.37</v>
      </c>
      <c r="AB59" s="95">
        <v>2904900</v>
      </c>
      <c r="AC59" s="10">
        <v>16.37</v>
      </c>
      <c r="AD59" s="2">
        <f t="shared" si="0"/>
        <v>0.55000000000000071</v>
      </c>
      <c r="AE59" s="138">
        <f t="shared" si="1"/>
        <v>-2.0933014354066914E-2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16.872</v>
      </c>
      <c r="W60" s="133">
        <v>42669</v>
      </c>
      <c r="X60" s="10">
        <v>16.52</v>
      </c>
      <c r="Y60" s="10">
        <v>17.13</v>
      </c>
      <c r="Z60" s="10">
        <v>16.440000000000001</v>
      </c>
      <c r="AA60" s="10">
        <v>16.72</v>
      </c>
      <c r="AB60" s="95">
        <v>2051100</v>
      </c>
      <c r="AC60" s="10">
        <v>16.72</v>
      </c>
      <c r="AD60" s="2">
        <f t="shared" si="0"/>
        <v>0.68999999999999773</v>
      </c>
      <c r="AE60" s="138">
        <f t="shared" si="1"/>
        <v>6.0168471720816186E-3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16.694400000000002</v>
      </c>
      <c r="W61" s="133">
        <v>42668</v>
      </c>
      <c r="X61" s="10">
        <v>16.96</v>
      </c>
      <c r="Y61" s="10">
        <v>17.170000000000002</v>
      </c>
      <c r="Z61" s="10">
        <v>16.57</v>
      </c>
      <c r="AA61" s="10">
        <v>16.62</v>
      </c>
      <c r="AB61" s="95">
        <v>3096800</v>
      </c>
      <c r="AC61" s="10">
        <v>16.62</v>
      </c>
      <c r="AD61" s="2">
        <f t="shared" si="0"/>
        <v>0.60000000000000142</v>
      </c>
      <c r="AE61" s="138">
        <f t="shared" si="1"/>
        <v>-3.3720930232558066E-2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16.516800000000003</v>
      </c>
      <c r="W62" s="133">
        <v>42667</v>
      </c>
      <c r="X62" s="10">
        <v>17.649999999999999</v>
      </c>
      <c r="Y62" s="10">
        <v>17.649999999999999</v>
      </c>
      <c r="Z62" s="10">
        <v>17.02</v>
      </c>
      <c r="AA62" s="10">
        <v>17.2</v>
      </c>
      <c r="AB62" s="95">
        <v>1940300</v>
      </c>
      <c r="AC62" s="10">
        <v>17.2</v>
      </c>
      <c r="AD62" s="2">
        <f t="shared" si="0"/>
        <v>0.62999999999999901</v>
      </c>
      <c r="AE62" s="138">
        <f t="shared" si="1"/>
        <v>-1.0356731875719172E-2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16.339200000000002</v>
      </c>
      <c r="W63" s="133">
        <v>42664</v>
      </c>
      <c r="X63" s="10">
        <v>17.57</v>
      </c>
      <c r="Y63" s="10">
        <v>17.61</v>
      </c>
      <c r="Z63" s="10">
        <v>17.170000000000002</v>
      </c>
      <c r="AA63" s="10">
        <v>17.38</v>
      </c>
      <c r="AB63" s="95">
        <v>2475800</v>
      </c>
      <c r="AC63" s="10">
        <v>17.38</v>
      </c>
      <c r="AD63" s="2">
        <f t="shared" si="0"/>
        <v>0.43999999999999773</v>
      </c>
      <c r="AE63" s="138">
        <f t="shared" si="1"/>
        <v>-1.3620885357548351E-2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16.161600000000004</v>
      </c>
      <c r="W64" s="133">
        <v>42663</v>
      </c>
      <c r="X64" s="10">
        <v>17.829999999999998</v>
      </c>
      <c r="Y64" s="10">
        <v>17.89</v>
      </c>
      <c r="Z64" s="10">
        <v>17.440000000000001</v>
      </c>
      <c r="AA64" s="10">
        <v>17.62</v>
      </c>
      <c r="AB64" s="95">
        <v>1514000</v>
      </c>
      <c r="AC64" s="10">
        <v>17.62</v>
      </c>
      <c r="AD64" s="2">
        <f t="shared" si="0"/>
        <v>0.44999999999999929</v>
      </c>
      <c r="AE64" s="138">
        <f t="shared" si="1"/>
        <v>-1.8384401114206028E-2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15.984000000000002</v>
      </c>
      <c r="W65" s="133">
        <v>42662</v>
      </c>
      <c r="X65" s="10">
        <v>17.61</v>
      </c>
      <c r="Y65" s="10">
        <v>18.07</v>
      </c>
      <c r="Z65" s="10">
        <v>17.579999999999998</v>
      </c>
      <c r="AA65" s="10">
        <v>17.95</v>
      </c>
      <c r="AB65" s="95">
        <v>1494900</v>
      </c>
      <c r="AC65" s="10">
        <v>17.95</v>
      </c>
      <c r="AD65" s="2">
        <f t="shared" si="0"/>
        <v>0.49000000000000199</v>
      </c>
      <c r="AE65" s="138">
        <f t="shared" si="1"/>
        <v>1.930721181147077E-2</v>
      </c>
    </row>
    <row r="66" spans="1:31" x14ac:dyDescent="0.25">
      <c r="O66" s="34"/>
      <c r="W66" s="133">
        <v>42661</v>
      </c>
      <c r="X66" s="10">
        <v>17.48</v>
      </c>
      <c r="Y66" s="10">
        <v>17.72</v>
      </c>
      <c r="Z66" s="10">
        <v>17.48</v>
      </c>
      <c r="AA66" s="10">
        <v>17.61</v>
      </c>
      <c r="AB66" s="95">
        <v>1524900</v>
      </c>
      <c r="AC66" s="10">
        <v>17.61</v>
      </c>
      <c r="AD66" s="2">
        <f t="shared" si="0"/>
        <v>0.23999999999999844</v>
      </c>
      <c r="AE66" s="138">
        <f t="shared" si="1"/>
        <v>2.2054556006964487E-2</v>
      </c>
    </row>
    <row r="67" spans="1:31" x14ac:dyDescent="0.25">
      <c r="W67" s="133">
        <v>42660</v>
      </c>
      <c r="X67" s="10">
        <v>17.579999999999998</v>
      </c>
      <c r="Y67" s="10">
        <v>17.77</v>
      </c>
      <c r="Z67" s="10">
        <v>17.21</v>
      </c>
      <c r="AA67" s="10">
        <v>17.23</v>
      </c>
      <c r="AB67" s="95">
        <v>1102700</v>
      </c>
      <c r="AC67" s="10">
        <v>17.23</v>
      </c>
      <c r="AD67" s="2">
        <f>Y67-Z67</f>
        <v>0.55999999999999872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1" priority="27">
      <formula>F27&gt;0</formula>
    </cfRule>
    <cfRule type="expression" dxfId="340" priority="28">
      <formula>F27&lt;0</formula>
    </cfRule>
  </conditionalFormatting>
  <conditionalFormatting sqref="F29:F33">
    <cfRule type="expression" dxfId="339" priority="23">
      <formula>F29&gt;0</formula>
    </cfRule>
    <cfRule type="expression" dxfId="338" priority="24">
      <formula>F29&lt;0</formula>
    </cfRule>
  </conditionalFormatting>
  <conditionalFormatting sqref="F29:F32">
    <cfRule type="expression" dxfId="337" priority="25">
      <formula>F29&gt;0</formula>
    </cfRule>
    <cfRule type="expression" dxfId="336" priority="26">
      <formula>F29&lt;0</formula>
    </cfRule>
  </conditionalFormatting>
  <conditionalFormatting sqref="H27:H33">
    <cfRule type="expression" dxfId="335" priority="21">
      <formula>H27&gt;0</formula>
    </cfRule>
    <cfRule type="expression" dxfId="334" priority="22">
      <formula>H27&lt;0</formula>
    </cfRule>
  </conditionalFormatting>
  <conditionalFormatting sqref="F34">
    <cfRule type="expression" dxfId="333" priority="19">
      <formula>F34&gt;0</formula>
    </cfRule>
    <cfRule type="expression" dxfId="332" priority="20">
      <formula>F34&lt;0</formula>
    </cfRule>
  </conditionalFormatting>
  <conditionalFormatting sqref="H34">
    <cfRule type="expression" dxfId="331" priority="17">
      <formula>H34&gt;0</formula>
    </cfRule>
    <cfRule type="expression" dxfId="330" priority="18">
      <formula>H34&lt;0</formula>
    </cfRule>
  </conditionalFormatting>
  <conditionalFormatting sqref="F36:F43">
    <cfRule type="expression" dxfId="329" priority="15">
      <formula>F36&gt;0</formula>
    </cfRule>
    <cfRule type="expression" dxfId="328" priority="16">
      <formula>F36&lt;0</formula>
    </cfRule>
  </conditionalFormatting>
  <conditionalFormatting sqref="H36:H43">
    <cfRule type="expression" dxfId="327" priority="13">
      <formula>H36&gt;0</formula>
    </cfRule>
    <cfRule type="expression" dxfId="326" priority="14">
      <formula>H36&lt;0</formula>
    </cfRule>
  </conditionalFormatting>
  <conditionalFormatting sqref="F35">
    <cfRule type="expression" dxfId="325" priority="11">
      <formula>F35&gt;0</formula>
    </cfRule>
    <cfRule type="expression" dxfId="324" priority="12">
      <formula>F35&lt;0</formula>
    </cfRule>
  </conditionalFormatting>
  <conditionalFormatting sqref="H35">
    <cfRule type="expression" dxfId="323" priority="9">
      <formula>H35&gt;0</formula>
    </cfRule>
    <cfRule type="expression" dxfId="322" priority="10">
      <formula>H35&lt;0</formula>
    </cfRule>
  </conditionalFormatting>
  <conditionalFormatting sqref="F22:F26">
    <cfRule type="expression" dxfId="321" priority="7">
      <formula>F22&gt;0</formula>
    </cfRule>
    <cfRule type="expression" dxfId="320" priority="8">
      <formula>F22&lt;0</formula>
    </cfRule>
  </conditionalFormatting>
  <conditionalFormatting sqref="H22:H26">
    <cfRule type="expression" dxfId="319" priority="5">
      <formula>H22&gt;0</formula>
    </cfRule>
    <cfRule type="expression" dxfId="318" priority="6">
      <formula>H22&lt;0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253</v>
      </c>
      <c r="W2" s="133">
        <v>42755</v>
      </c>
      <c r="X2" s="10">
        <v>33.72</v>
      </c>
      <c r="Y2" s="10">
        <v>34.340000000000003</v>
      </c>
      <c r="Z2" s="10">
        <v>33.04</v>
      </c>
      <c r="AA2" s="10">
        <v>34.200000000000003</v>
      </c>
      <c r="AB2" s="95">
        <v>7708900</v>
      </c>
      <c r="AC2" s="10">
        <v>34.200000000000003</v>
      </c>
      <c r="AD2" s="2">
        <f>Y2-Z2</f>
        <v>1.3000000000000043</v>
      </c>
      <c r="AE2" s="138">
        <f>AC2/AC3-1</f>
        <v>6.0465116279069919E-2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254</v>
      </c>
      <c r="W3" s="133">
        <v>42754</v>
      </c>
      <c r="X3" s="10">
        <v>32.58</v>
      </c>
      <c r="Y3" s="10">
        <v>32.72</v>
      </c>
      <c r="Z3" s="10">
        <v>31.99</v>
      </c>
      <c r="AA3" s="10">
        <v>32.25</v>
      </c>
      <c r="AB3" s="95">
        <v>5004200</v>
      </c>
      <c r="AC3" s="10">
        <v>32.25</v>
      </c>
      <c r="AD3" s="2">
        <f t="shared" ref="AD3:AD66" si="1">Y3-Z3</f>
        <v>0.73000000000000043</v>
      </c>
      <c r="AE3" s="138">
        <f t="shared" ref="AE3:AE66" si="2">AC3/AC4-1</f>
        <v>-2.1658415841584455E-3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34.200000000000003</v>
      </c>
      <c r="R4" s="529">
        <v>6.0499999999999998E-2</v>
      </c>
      <c r="T4" s="163">
        <v>42633</v>
      </c>
      <c r="U4" s="1" t="s">
        <v>292</v>
      </c>
      <c r="W4" s="133">
        <v>42753</v>
      </c>
      <c r="X4" s="10">
        <v>32.89</v>
      </c>
      <c r="Y4" s="10">
        <v>32.92</v>
      </c>
      <c r="Z4" s="10">
        <v>32.29</v>
      </c>
      <c r="AA4" s="10">
        <v>32.32</v>
      </c>
      <c r="AB4" s="95">
        <v>5387200</v>
      </c>
      <c r="AC4" s="10">
        <v>32.32</v>
      </c>
      <c r="AD4" s="2">
        <f t="shared" si="1"/>
        <v>0.63000000000000256</v>
      </c>
      <c r="AE4" s="138">
        <f t="shared" si="2"/>
        <v>-1.7330495591365125E-2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3420.0000000000005</v>
      </c>
      <c r="T5" t="s">
        <v>395</v>
      </c>
      <c r="W5" s="133">
        <v>42752</v>
      </c>
      <c r="X5" s="10">
        <v>34.229999999999997</v>
      </c>
      <c r="Y5" s="10">
        <v>34.26</v>
      </c>
      <c r="Z5" s="10">
        <v>32.86</v>
      </c>
      <c r="AA5" s="10">
        <v>32.89</v>
      </c>
      <c r="AB5" s="95">
        <v>4777800</v>
      </c>
      <c r="AC5" s="10">
        <v>32.89</v>
      </c>
      <c r="AD5" s="2">
        <f t="shared" si="1"/>
        <v>1.3999999999999986</v>
      </c>
      <c r="AE5" s="138">
        <f t="shared" si="2"/>
        <v>-3.2077692760447252E-2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42748</v>
      </c>
      <c r="X6" s="10">
        <v>34.369999999999997</v>
      </c>
      <c r="Y6" s="10">
        <v>34.700000000000003</v>
      </c>
      <c r="Z6" s="10">
        <v>33.340000000000003</v>
      </c>
      <c r="AA6" s="10">
        <v>33.979999999999997</v>
      </c>
      <c r="AB6" s="95">
        <v>4132000</v>
      </c>
      <c r="AC6" s="10">
        <v>33.979999999999997</v>
      </c>
      <c r="AD6" s="2">
        <f t="shared" si="1"/>
        <v>1.3599999999999994</v>
      </c>
      <c r="AE6" s="138">
        <f t="shared" si="2"/>
        <v>-1.5357867284845006E-2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3372.4699999999962</v>
      </c>
      <c r="R7" s="30">
        <v>42786</v>
      </c>
      <c r="W7" s="133">
        <v>42747</v>
      </c>
      <c r="X7" s="10">
        <v>33.93</v>
      </c>
      <c r="Y7" s="10">
        <v>34.57</v>
      </c>
      <c r="Z7" s="10">
        <v>33.409999999999997</v>
      </c>
      <c r="AA7" s="10">
        <v>34.51</v>
      </c>
      <c r="AB7" s="95">
        <v>5890500</v>
      </c>
      <c r="AC7" s="10">
        <v>34.51</v>
      </c>
      <c r="AD7" s="2">
        <f t="shared" si="1"/>
        <v>1.1600000000000037</v>
      </c>
      <c r="AE7" s="138">
        <f t="shared" si="2"/>
        <v>9.3594618309447153E-3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62.000000000000455</v>
      </c>
      <c r="W8" s="133">
        <v>42746</v>
      </c>
      <c r="X8" s="10">
        <v>32.869999999999997</v>
      </c>
      <c r="Y8" s="10">
        <v>34.24</v>
      </c>
      <c r="Z8" s="10">
        <v>32.86</v>
      </c>
      <c r="AA8" s="10">
        <v>34.19</v>
      </c>
      <c r="AB8" s="95">
        <v>6485300</v>
      </c>
      <c r="AC8" s="10">
        <v>34.19</v>
      </c>
      <c r="AD8" s="2">
        <f t="shared" si="1"/>
        <v>1.3800000000000026</v>
      </c>
      <c r="AE8" s="138">
        <f t="shared" si="2"/>
        <v>4.4607393828292041E-2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1.8463371054199065E-2</v>
      </c>
      <c r="W9" s="133">
        <v>42745</v>
      </c>
      <c r="X9" s="10">
        <v>33.409999999999997</v>
      </c>
      <c r="Y9" s="10">
        <v>33.78</v>
      </c>
      <c r="Z9" s="10">
        <v>32.4</v>
      </c>
      <c r="AA9" s="10">
        <v>32.729999999999997</v>
      </c>
      <c r="AB9" s="95">
        <v>6816000</v>
      </c>
      <c r="AC9" s="10">
        <v>32.729999999999997</v>
      </c>
      <c r="AD9" s="2">
        <f t="shared" si="1"/>
        <v>1.3800000000000026</v>
      </c>
      <c r="AE9" s="138">
        <f t="shared" si="2"/>
        <v>-3.0796564998519571E-2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f>M113 + M135</f>
        <v>3310.4699999999957</v>
      </c>
      <c r="W10" s="133">
        <v>42744</v>
      </c>
      <c r="X10" s="10">
        <v>33.47</v>
      </c>
      <c r="Y10" s="10">
        <v>33.950000000000003</v>
      </c>
      <c r="Z10" s="10">
        <v>33.07</v>
      </c>
      <c r="AA10" s="10">
        <v>33.770000000000003</v>
      </c>
      <c r="AB10" s="95">
        <v>4516800</v>
      </c>
      <c r="AC10" s="10">
        <v>33.770000000000003</v>
      </c>
      <c r="AD10" s="2">
        <f t="shared" si="1"/>
        <v>0.88000000000000256</v>
      </c>
      <c r="AE10" s="138">
        <f t="shared" si="2"/>
        <v>8.9632506722439054E-3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3.5099999999999999E-2</v>
      </c>
      <c r="W11" s="133">
        <v>42741</v>
      </c>
      <c r="X11" s="10">
        <v>33.07</v>
      </c>
      <c r="Y11" s="10">
        <v>33.5</v>
      </c>
      <c r="Z11" s="10">
        <v>33.020000000000003</v>
      </c>
      <c r="AA11" s="10">
        <v>33.47</v>
      </c>
      <c r="AB11" s="95">
        <v>2832000</v>
      </c>
      <c r="AC11" s="10">
        <v>33.47</v>
      </c>
      <c r="AD11" s="2">
        <f t="shared" si="1"/>
        <v>0.47999999999999687</v>
      </c>
      <c r="AE11" s="138">
        <f t="shared" si="2"/>
        <v>1.2708018154311773E-2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42740</v>
      </c>
      <c r="X12" s="10">
        <v>33.04</v>
      </c>
      <c r="Y12" s="10">
        <v>33.4</v>
      </c>
      <c r="Z12" s="10">
        <v>32.32</v>
      </c>
      <c r="AA12" s="10">
        <v>33.049999999999997</v>
      </c>
      <c r="AB12" s="95">
        <v>5947900</v>
      </c>
      <c r="AC12" s="10">
        <v>33.049999999999997</v>
      </c>
      <c r="AD12" s="2">
        <f t="shared" si="1"/>
        <v>1.0799999999999983</v>
      </c>
      <c r="AE12" s="138">
        <f t="shared" si="2"/>
        <v>3.0266343825657849E-4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42739</v>
      </c>
      <c r="X13" s="10">
        <v>32.11</v>
      </c>
      <c r="Y13" s="10">
        <v>33.04</v>
      </c>
      <c r="Z13" s="10">
        <v>32.04</v>
      </c>
      <c r="AA13" s="10">
        <v>33.04</v>
      </c>
      <c r="AB13" s="95">
        <v>5468600</v>
      </c>
      <c r="AC13" s="10">
        <v>33.04</v>
      </c>
      <c r="AD13" s="2">
        <f t="shared" si="1"/>
        <v>1</v>
      </c>
      <c r="AE13" s="138">
        <f t="shared" si="2"/>
        <v>3.6711641041732079E-2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42738</v>
      </c>
      <c r="X14" s="10">
        <v>32.020000000000003</v>
      </c>
      <c r="Y14" s="10">
        <v>32.590000000000003</v>
      </c>
      <c r="Z14" s="10">
        <v>31.66</v>
      </c>
      <c r="AA14" s="10">
        <v>31.87</v>
      </c>
      <c r="AB14" s="95">
        <v>6719700</v>
      </c>
      <c r="AC14" s="10">
        <v>31.87</v>
      </c>
      <c r="AD14" s="2">
        <f t="shared" si="1"/>
        <v>0.93000000000000327</v>
      </c>
      <c r="AE14" s="138">
        <f t="shared" si="2"/>
        <v>1.2388818297331738E-2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42734</v>
      </c>
      <c r="X15" s="10">
        <v>31.81</v>
      </c>
      <c r="Y15" s="10">
        <v>32.159999999999997</v>
      </c>
      <c r="Z15" s="10">
        <v>31.08</v>
      </c>
      <c r="AA15" s="10">
        <v>31.48</v>
      </c>
      <c r="AB15" s="95">
        <v>4181300</v>
      </c>
      <c r="AC15" s="10">
        <v>31.48</v>
      </c>
      <c r="AD15" s="2">
        <f t="shared" si="1"/>
        <v>1.0799999999999983</v>
      </c>
      <c r="AE15" s="138">
        <f t="shared" si="2"/>
        <v>-1.3166144200626895E-2</v>
      </c>
    </row>
    <row r="16" spans="1:31" x14ac:dyDescent="0.25">
      <c r="G16" s="30"/>
      <c r="H16" s="72"/>
      <c r="W16" s="133">
        <v>42733</v>
      </c>
      <c r="X16" s="10">
        <v>31.52</v>
      </c>
      <c r="Y16" s="10">
        <v>32.04</v>
      </c>
      <c r="Z16" s="10">
        <v>31.44</v>
      </c>
      <c r="AA16" s="10">
        <v>31.9</v>
      </c>
      <c r="AB16" s="95">
        <v>4208000</v>
      </c>
      <c r="AC16" s="10">
        <v>31.9</v>
      </c>
      <c r="AD16" s="2">
        <f t="shared" si="1"/>
        <v>0.59999999999999787</v>
      </c>
      <c r="AE16" s="138">
        <f t="shared" si="2"/>
        <v>8.5361998103066217E-3</v>
      </c>
    </row>
    <row r="17" spans="1:31" x14ac:dyDescent="0.25">
      <c r="G17" s="30"/>
      <c r="W17" s="133">
        <v>42732</v>
      </c>
      <c r="X17" s="10">
        <v>32.11</v>
      </c>
      <c r="Y17" s="10">
        <v>32.61</v>
      </c>
      <c r="Z17" s="10">
        <v>31.28</v>
      </c>
      <c r="AA17" s="10">
        <v>31.63</v>
      </c>
      <c r="AB17" s="95">
        <v>3644000</v>
      </c>
      <c r="AC17" s="10">
        <v>31.63</v>
      </c>
      <c r="AD17" s="2">
        <f t="shared" si="1"/>
        <v>1.3299999999999983</v>
      </c>
      <c r="AE17" s="138">
        <f t="shared" si="2"/>
        <v>-1.0015649452269182E-2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42731</v>
      </c>
      <c r="X18" s="10">
        <v>30.91</v>
      </c>
      <c r="Y18" s="10">
        <v>32.11</v>
      </c>
      <c r="Z18" s="10">
        <v>30.72</v>
      </c>
      <c r="AA18" s="10">
        <v>31.95</v>
      </c>
      <c r="AB18" s="95">
        <v>6222100</v>
      </c>
      <c r="AC18" s="10">
        <v>31.95</v>
      </c>
      <c r="AD18" s="2">
        <f t="shared" si="1"/>
        <v>1.3900000000000006</v>
      </c>
      <c r="AE18" s="138">
        <f t="shared" si="2"/>
        <v>4.037772712471499E-2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42727</v>
      </c>
      <c r="X19" s="10">
        <v>30.11</v>
      </c>
      <c r="Y19" s="10">
        <v>30.81</v>
      </c>
      <c r="Z19" s="10">
        <v>29.61</v>
      </c>
      <c r="AA19" s="10">
        <v>30.71</v>
      </c>
      <c r="AB19" s="95">
        <v>5466300</v>
      </c>
      <c r="AC19" s="10">
        <v>30.71</v>
      </c>
      <c r="AD19" s="2">
        <f t="shared" si="1"/>
        <v>1.1999999999999993</v>
      </c>
      <c r="AE19" s="138">
        <f t="shared" si="2"/>
        <v>1.9926934573231581E-2</v>
      </c>
    </row>
    <row r="20" spans="1:31" x14ac:dyDescent="0.25">
      <c r="W20" s="133">
        <v>42726</v>
      </c>
      <c r="X20" s="10">
        <v>28.97</v>
      </c>
      <c r="Y20" s="10">
        <v>30.17</v>
      </c>
      <c r="Z20" s="10">
        <v>28.82</v>
      </c>
      <c r="AA20" s="10">
        <v>30.11</v>
      </c>
      <c r="AB20" s="95">
        <v>4326800</v>
      </c>
      <c r="AC20" s="10">
        <v>30.11</v>
      </c>
      <c r="AD20" s="2">
        <f t="shared" si="1"/>
        <v>1.3500000000000014</v>
      </c>
      <c r="AE20" s="138">
        <f t="shared" si="2"/>
        <v>4.186851211072673E-2</v>
      </c>
    </row>
    <row r="21" spans="1:31" x14ac:dyDescent="0.25">
      <c r="W21" s="133">
        <v>42725</v>
      </c>
      <c r="X21" s="10">
        <v>29.11</v>
      </c>
      <c r="Y21" s="10">
        <v>29.11</v>
      </c>
      <c r="Z21" s="10">
        <v>28.55</v>
      </c>
      <c r="AA21" s="10">
        <v>28.9</v>
      </c>
      <c r="AB21" s="95">
        <v>3777600</v>
      </c>
      <c r="AC21" s="10">
        <v>28.9</v>
      </c>
      <c r="AD21" s="2">
        <f t="shared" si="1"/>
        <v>0.55999999999999872</v>
      </c>
      <c r="AE21" s="138">
        <f t="shared" si="2"/>
        <v>-3.1045187995860646E-3</v>
      </c>
    </row>
    <row r="22" spans="1:31" x14ac:dyDescent="0.25">
      <c r="W22" s="133">
        <v>42724</v>
      </c>
      <c r="X22" s="10">
        <v>28.47</v>
      </c>
      <c r="Y22" s="10">
        <v>29.09</v>
      </c>
      <c r="Z22" s="10">
        <v>28.29</v>
      </c>
      <c r="AA22" s="10">
        <v>28.99</v>
      </c>
      <c r="AB22" s="95">
        <v>3917200</v>
      </c>
      <c r="AC22" s="10">
        <v>28.99</v>
      </c>
      <c r="AD22" s="2">
        <f t="shared" si="1"/>
        <v>0.80000000000000071</v>
      </c>
      <c r="AE22" s="138">
        <f t="shared" si="2"/>
        <v>2.474372569812644E-2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29.16</v>
      </c>
      <c r="Y23" s="10">
        <v>29.5</v>
      </c>
      <c r="Z23" s="10">
        <v>28.14</v>
      </c>
      <c r="AA23" s="10">
        <v>28.29</v>
      </c>
      <c r="AB23" s="95">
        <v>5408000</v>
      </c>
      <c r="AC23" s="10">
        <v>28.29</v>
      </c>
      <c r="AD23" s="2">
        <f t="shared" si="1"/>
        <v>1.3599999999999994</v>
      </c>
      <c r="AE23" s="138">
        <f t="shared" si="2"/>
        <v>-4.0366350067842616E-2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42720</v>
      </c>
      <c r="X24" s="10">
        <v>28.58</v>
      </c>
      <c r="Y24" s="10">
        <v>29.61</v>
      </c>
      <c r="Z24" s="10">
        <v>28.22</v>
      </c>
      <c r="AA24" s="10">
        <v>29.48</v>
      </c>
      <c r="AB24" s="95">
        <v>10292300</v>
      </c>
      <c r="AC24" s="10">
        <v>29.48</v>
      </c>
      <c r="AD24" s="2">
        <f t="shared" si="1"/>
        <v>1.3900000000000006</v>
      </c>
      <c r="AE24" s="138">
        <f t="shared" si="2"/>
        <v>2.897033158813267E-2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42719</v>
      </c>
      <c r="X25" s="10">
        <v>27.97</v>
      </c>
      <c r="Y25" s="10">
        <v>29.08</v>
      </c>
      <c r="Z25" s="10">
        <v>27.75</v>
      </c>
      <c r="AA25" s="10">
        <v>28.65</v>
      </c>
      <c r="AB25" s="95">
        <v>4436700</v>
      </c>
      <c r="AC25" s="10">
        <v>28.65</v>
      </c>
      <c r="AD25" s="2">
        <f t="shared" si="1"/>
        <v>1.3299999999999983</v>
      </c>
      <c r="AE25" s="138">
        <f t="shared" si="2"/>
        <v>1.9210245464247544E-2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42718</v>
      </c>
      <c r="X26" s="10">
        <v>28.28</v>
      </c>
      <c r="Y26" s="10">
        <v>28.84</v>
      </c>
      <c r="Z26" s="10">
        <v>28.03</v>
      </c>
      <c r="AA26" s="10">
        <v>28.11</v>
      </c>
      <c r="AB26" s="95">
        <v>2983900</v>
      </c>
      <c r="AC26" s="10">
        <v>28.11</v>
      </c>
      <c r="AD26" s="2">
        <f t="shared" si="1"/>
        <v>0.80999999999999872</v>
      </c>
      <c r="AE26" s="138">
        <f t="shared" si="2"/>
        <v>-1.055966209081316E-2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42717</v>
      </c>
      <c r="X27" s="10">
        <v>29.07</v>
      </c>
      <c r="Y27" s="10">
        <v>29.3</v>
      </c>
      <c r="Z27" s="10">
        <v>28.05</v>
      </c>
      <c r="AA27" s="10">
        <v>28.41</v>
      </c>
      <c r="AB27" s="95">
        <v>6505400</v>
      </c>
      <c r="AC27" s="10">
        <v>28.41</v>
      </c>
      <c r="AD27" s="2">
        <f t="shared" si="1"/>
        <v>1.25</v>
      </c>
      <c r="AE27" s="138">
        <f t="shared" si="2"/>
        <v>-2.0344827586206926E-2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42716</v>
      </c>
      <c r="X28" s="10">
        <v>30.82</v>
      </c>
      <c r="Y28" s="10">
        <v>30.87</v>
      </c>
      <c r="Z28" s="10">
        <v>28.67</v>
      </c>
      <c r="AA28" s="10">
        <v>29</v>
      </c>
      <c r="AB28" s="95">
        <v>6037800</v>
      </c>
      <c r="AC28" s="10">
        <v>29</v>
      </c>
      <c r="AD28" s="2">
        <f t="shared" si="1"/>
        <v>2.1999999999999993</v>
      </c>
      <c r="AE28" s="138">
        <f t="shared" si="2"/>
        <v>-6.3004846526655833E-2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42713</v>
      </c>
      <c r="X29" s="10">
        <v>30.43</v>
      </c>
      <c r="Y29" s="10">
        <v>30.95</v>
      </c>
      <c r="Z29" s="10">
        <v>30.04</v>
      </c>
      <c r="AA29" s="10">
        <v>30.95</v>
      </c>
      <c r="AB29" s="95">
        <v>4645700</v>
      </c>
      <c r="AC29" s="10">
        <v>30.95</v>
      </c>
      <c r="AD29" s="2">
        <f t="shared" si="1"/>
        <v>0.91000000000000014</v>
      </c>
      <c r="AE29" s="138">
        <f t="shared" si="2"/>
        <v>1.9097793875535007E-2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42712</v>
      </c>
      <c r="X30" s="10">
        <v>29.92</v>
      </c>
      <c r="Y30" s="10">
        <v>30.75</v>
      </c>
      <c r="Z30" s="10">
        <v>29.72</v>
      </c>
      <c r="AA30" s="10">
        <v>30.37</v>
      </c>
      <c r="AB30" s="95">
        <v>4419900</v>
      </c>
      <c r="AC30" s="10">
        <v>30.37</v>
      </c>
      <c r="AD30" s="2">
        <f t="shared" si="1"/>
        <v>1.0300000000000011</v>
      </c>
      <c r="AE30" s="138">
        <f t="shared" si="2"/>
        <v>2.1870794078062028E-2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42711</v>
      </c>
      <c r="X31" s="10">
        <v>28.56</v>
      </c>
      <c r="Y31" s="10">
        <v>30.11</v>
      </c>
      <c r="Z31" s="10">
        <v>28.5</v>
      </c>
      <c r="AA31" s="10">
        <v>29.72</v>
      </c>
      <c r="AB31" s="95">
        <v>6744600</v>
      </c>
      <c r="AC31" s="10">
        <v>29.72</v>
      </c>
      <c r="AD31" s="2">
        <f t="shared" si="1"/>
        <v>1.6099999999999994</v>
      </c>
      <c r="AE31" s="138">
        <f t="shared" si="2"/>
        <v>4.0252012600630049E-2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42710</v>
      </c>
      <c r="X32" s="10">
        <v>28.29</v>
      </c>
      <c r="Y32" s="10">
        <v>28.78</v>
      </c>
      <c r="Z32" s="10">
        <v>27.82</v>
      </c>
      <c r="AA32" s="10">
        <v>28.57</v>
      </c>
      <c r="AB32" s="95">
        <v>6875100</v>
      </c>
      <c r="AC32" s="10">
        <v>28.57</v>
      </c>
      <c r="AD32" s="2">
        <f t="shared" si="1"/>
        <v>0.96000000000000085</v>
      </c>
      <c r="AE32" s="138">
        <f t="shared" si="2"/>
        <v>-3.4989503149052137E-4</v>
      </c>
    </row>
    <row r="33" spans="1:31" x14ac:dyDescent="0.25">
      <c r="A33" t="s">
        <v>463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42709</v>
      </c>
      <c r="X33" s="10">
        <v>28.79</v>
      </c>
      <c r="Y33" s="10">
        <v>29.29</v>
      </c>
      <c r="Z33" s="10">
        <v>28.3</v>
      </c>
      <c r="AA33" s="10">
        <v>28.58</v>
      </c>
      <c r="AB33" s="95">
        <v>7714100</v>
      </c>
      <c r="AC33" s="10">
        <v>28.58</v>
      </c>
      <c r="AD33" s="2">
        <f t="shared" si="1"/>
        <v>0.98999999999999844</v>
      </c>
      <c r="AE33" s="138">
        <f t="shared" si="2"/>
        <v>7.0472163495418627E-3</v>
      </c>
    </row>
    <row r="34" spans="1:31" x14ac:dyDescent="0.25">
      <c r="B34" s="157"/>
      <c r="C34" s="10"/>
      <c r="D34" s="40"/>
      <c r="E34" s="40"/>
      <c r="F34" s="40"/>
      <c r="G34" s="10"/>
      <c r="H34" s="10"/>
      <c r="I34" s="40"/>
      <c r="W34" s="133">
        <v>42706</v>
      </c>
      <c r="X34" s="10">
        <v>28.79</v>
      </c>
      <c r="Y34" s="10">
        <v>29.61</v>
      </c>
      <c r="Z34" s="10">
        <v>28.06</v>
      </c>
      <c r="AA34" s="10">
        <v>28.38</v>
      </c>
      <c r="AB34" s="95">
        <v>5096200</v>
      </c>
      <c r="AC34" s="10">
        <v>28.38</v>
      </c>
      <c r="AD34" s="2">
        <f t="shared" si="1"/>
        <v>1.5500000000000007</v>
      </c>
      <c r="AE34" s="138">
        <f t="shared" si="2"/>
        <v>-1.1838440111420656E-2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42705</v>
      </c>
      <c r="X35" s="10">
        <v>29.09</v>
      </c>
      <c r="Y35" s="10">
        <v>29.95</v>
      </c>
      <c r="Z35" s="10">
        <v>28.56</v>
      </c>
      <c r="AA35" s="10">
        <v>28.72</v>
      </c>
      <c r="AB35" s="95">
        <v>5937300</v>
      </c>
      <c r="AC35" s="10">
        <v>28.72</v>
      </c>
      <c r="AD35" s="2">
        <f t="shared" si="1"/>
        <v>1.3900000000000006</v>
      </c>
      <c r="AE35" s="138">
        <f t="shared" si="2"/>
        <v>-7.6019350380097661E-3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27.98</v>
      </c>
      <c r="Y36" s="10">
        <v>29.31</v>
      </c>
      <c r="Z36" s="10">
        <v>27.82</v>
      </c>
      <c r="AA36" s="10">
        <v>28.94</v>
      </c>
      <c r="AB36" s="95">
        <v>6417400</v>
      </c>
      <c r="AC36" s="10">
        <v>28.94</v>
      </c>
      <c r="AD36" s="2">
        <f t="shared" si="1"/>
        <v>1.4899999999999984</v>
      </c>
      <c r="AE36" s="138">
        <f t="shared" si="2"/>
        <v>5.5049216186656924E-2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27.9</v>
      </c>
      <c r="Y37" s="10">
        <v>28.13</v>
      </c>
      <c r="Z37" s="10">
        <v>27.34</v>
      </c>
      <c r="AA37" s="10">
        <v>27.43</v>
      </c>
      <c r="AB37" s="95">
        <v>3908500</v>
      </c>
      <c r="AC37" s="10">
        <v>27.43</v>
      </c>
      <c r="AD37" s="2">
        <f t="shared" si="1"/>
        <v>0.78999999999999915</v>
      </c>
      <c r="AE37" s="138">
        <f t="shared" si="2"/>
        <v>-2.6959914863426748E-2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28.46</v>
      </c>
      <c r="Y38" s="10">
        <v>28.79</v>
      </c>
      <c r="Z38" s="10">
        <v>27.91</v>
      </c>
      <c r="AA38" s="10">
        <v>28.19</v>
      </c>
      <c r="AB38" s="95">
        <v>3157300</v>
      </c>
      <c r="AC38" s="10">
        <v>28.19</v>
      </c>
      <c r="AD38" s="2">
        <f t="shared" si="1"/>
        <v>0.87999999999999901</v>
      </c>
      <c r="AE38" s="138">
        <f t="shared" si="2"/>
        <v>-1.2609457092819576E-2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28.48</v>
      </c>
      <c r="Y39" s="10">
        <v>28.93</v>
      </c>
      <c r="Z39" s="10">
        <v>28.17</v>
      </c>
      <c r="AA39" s="10">
        <v>28.55</v>
      </c>
      <c r="AB39" s="95">
        <v>1755200</v>
      </c>
      <c r="AC39" s="10">
        <v>28.55</v>
      </c>
      <c r="AD39" s="2">
        <f t="shared" si="1"/>
        <v>0.75999999999999801</v>
      </c>
      <c r="AE39" s="138">
        <f t="shared" si="2"/>
        <v>5.9901338971106721E-3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2" t="s">
        <v>78</v>
      </c>
      <c r="P40" s="632"/>
      <c r="W40" s="133">
        <v>42697</v>
      </c>
      <c r="X40" s="10">
        <v>28.31</v>
      </c>
      <c r="Y40" s="10">
        <v>28.47</v>
      </c>
      <c r="Z40" s="10">
        <v>27.77</v>
      </c>
      <c r="AA40" s="10">
        <v>28.38</v>
      </c>
      <c r="AB40" s="95">
        <v>6702000</v>
      </c>
      <c r="AC40" s="10">
        <v>28.38</v>
      </c>
      <c r="AD40" s="2">
        <f t="shared" si="1"/>
        <v>0.69999999999999929</v>
      </c>
      <c r="AE40" s="138">
        <f t="shared" si="2"/>
        <v>-3.5223670306450128E-4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37.620000000000005</v>
      </c>
      <c r="Q41" s="2"/>
      <c r="W41" s="133">
        <v>42696</v>
      </c>
      <c r="X41" s="10">
        <v>29.76</v>
      </c>
      <c r="Y41" s="10">
        <v>29.76</v>
      </c>
      <c r="Z41" s="10">
        <v>27.92</v>
      </c>
      <c r="AA41" s="10">
        <v>28.39</v>
      </c>
      <c r="AB41" s="95">
        <v>9451300</v>
      </c>
      <c r="AC41" s="10">
        <v>28.39</v>
      </c>
      <c r="AD41" s="2">
        <f t="shared" si="1"/>
        <v>1.8399999999999999</v>
      </c>
      <c r="AE41" s="138">
        <f t="shared" si="2"/>
        <v>-4.9548041513224006E-2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1">O42*$Q$4</f>
        <v>37.278000000000006</v>
      </c>
      <c r="Q42" s="2"/>
      <c r="T42" s="91" t="s">
        <v>113</v>
      </c>
      <c r="W42" s="133">
        <v>42695</v>
      </c>
      <c r="X42" s="10">
        <v>29.58</v>
      </c>
      <c r="Y42" s="10">
        <v>30.24</v>
      </c>
      <c r="Z42" s="10">
        <v>29.38</v>
      </c>
      <c r="AA42" s="10">
        <v>29.87</v>
      </c>
      <c r="AB42" s="95">
        <v>7043300</v>
      </c>
      <c r="AC42" s="10">
        <v>29.87</v>
      </c>
      <c r="AD42" s="2">
        <f t="shared" si="1"/>
        <v>0.85999999999999943</v>
      </c>
      <c r="AE42" s="138">
        <f t="shared" si="2"/>
        <v>3.1422651933701751E-2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1"/>
        <v>36.936000000000007</v>
      </c>
      <c r="Q43" s="2"/>
      <c r="T43" s="128" t="s">
        <v>98</v>
      </c>
      <c r="U43" s="129">
        <v>32.25</v>
      </c>
      <c r="W43" s="133">
        <v>42692</v>
      </c>
      <c r="X43" s="10">
        <v>26.97</v>
      </c>
      <c r="Y43" s="10">
        <v>29.03</v>
      </c>
      <c r="Z43" s="10">
        <v>26.97</v>
      </c>
      <c r="AA43" s="10">
        <v>28.96</v>
      </c>
      <c r="AB43" s="95">
        <v>7923700</v>
      </c>
      <c r="AC43" s="10">
        <v>28.96</v>
      </c>
      <c r="AD43" s="2">
        <f t="shared" si="1"/>
        <v>2.0600000000000023</v>
      </c>
      <c r="AE43" s="138">
        <f t="shared" si="2"/>
        <v>6.9029162052417936E-2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2">C44*(E44-D44)</f>
        <v>17.999999999999972</v>
      </c>
      <c r="G44" s="540">
        <f t="shared" ref="G44" si="33">D44*C44</f>
        <v>2525</v>
      </c>
      <c r="H44" s="585">
        <f t="shared" ref="H44" si="34">(E44-D44)/D44</f>
        <v>7.1287128712871177E-3</v>
      </c>
      <c r="I44" s="540"/>
      <c r="O44" s="83">
        <v>1.07</v>
      </c>
      <c r="P44" s="83">
        <f t="shared" si="31"/>
        <v>36.594000000000008</v>
      </c>
      <c r="Q44" s="2"/>
      <c r="T44" s="93" t="s">
        <v>99</v>
      </c>
      <c r="U44" s="130">
        <v>33.72</v>
      </c>
      <c r="W44" s="133">
        <v>42691</v>
      </c>
      <c r="X44" s="10">
        <v>27.62</v>
      </c>
      <c r="Y44" s="10">
        <v>27.78</v>
      </c>
      <c r="Z44" s="10">
        <v>26.95</v>
      </c>
      <c r="AA44" s="10">
        <v>27.09</v>
      </c>
      <c r="AB44" s="95">
        <v>5507100</v>
      </c>
      <c r="AC44" s="10">
        <v>27.09</v>
      </c>
      <c r="AD44" s="2">
        <f t="shared" si="1"/>
        <v>0.83000000000000185</v>
      </c>
      <c r="AE44" s="138">
        <f t="shared" si="2"/>
        <v>-1.2755102040816424E-2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5">C45*(E45-D45)</f>
        <v>-176.99999999999994</v>
      </c>
      <c r="G45" s="540">
        <f t="shared" ref="G45" si="36">D45*C45</f>
        <v>2525</v>
      </c>
      <c r="H45" s="585">
        <f t="shared" ref="H45" si="37">(E45-D45)/D45</f>
        <v>-7.0099009900990078E-2</v>
      </c>
      <c r="I45" s="540"/>
      <c r="O45" s="83">
        <v>1.06</v>
      </c>
      <c r="P45" s="83">
        <f t="shared" si="31"/>
        <v>36.252000000000002</v>
      </c>
      <c r="Q45" s="2"/>
      <c r="T45" s="93" t="s">
        <v>100</v>
      </c>
      <c r="U45" s="130" t="s">
        <v>129</v>
      </c>
      <c r="W45" s="133">
        <v>42690</v>
      </c>
      <c r="X45" s="10">
        <v>27.7</v>
      </c>
      <c r="Y45" s="10">
        <v>27.85</v>
      </c>
      <c r="Z45" s="10">
        <v>27.44</v>
      </c>
      <c r="AA45" s="10">
        <v>27.44</v>
      </c>
      <c r="AB45" s="95">
        <v>3500800</v>
      </c>
      <c r="AC45" s="10">
        <v>27.44</v>
      </c>
      <c r="AD45" s="2">
        <f t="shared" si="1"/>
        <v>0.41000000000000014</v>
      </c>
      <c r="AE45" s="138">
        <f t="shared" si="2"/>
        <v>-1.2949640287769792E-2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38">C46*(E46-D46)</f>
        <v>-119.00000000000013</v>
      </c>
      <c r="G46" s="540">
        <f t="shared" ref="G46" si="39">D46*C46</f>
        <v>2525</v>
      </c>
      <c r="H46" s="585">
        <f t="shared" ref="H46" si="40">(E46-D46)/D46</f>
        <v>-4.7128712871287178E-2</v>
      </c>
      <c r="I46" s="540"/>
      <c r="O46" s="83">
        <v>1.05</v>
      </c>
      <c r="P46" s="83">
        <f t="shared" si="31"/>
        <v>35.910000000000004</v>
      </c>
      <c r="Q46" s="2"/>
      <c r="T46" s="93" t="s">
        <v>101</v>
      </c>
      <c r="U46" s="130" t="s">
        <v>129</v>
      </c>
      <c r="W46" s="133">
        <v>42689</v>
      </c>
      <c r="X46" s="10">
        <v>28.04</v>
      </c>
      <c r="Y46" s="10">
        <v>28.25</v>
      </c>
      <c r="Z46" s="10">
        <v>27.41</v>
      </c>
      <c r="AA46" s="10">
        <v>27.8</v>
      </c>
      <c r="AB46" s="95">
        <v>5605800</v>
      </c>
      <c r="AC46" s="10">
        <v>27.8</v>
      </c>
      <c r="AD46" s="2">
        <f t="shared" si="1"/>
        <v>0.83999999999999986</v>
      </c>
      <c r="AE46" s="138">
        <f t="shared" si="2"/>
        <v>-1.4184397163120477E-2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1">C47*(E47-D47)</f>
        <v>-171.00000000000009</v>
      </c>
      <c r="G47" s="540">
        <f t="shared" ref="G47" si="42">D47*C47</f>
        <v>2525</v>
      </c>
      <c r="H47" s="585">
        <f t="shared" ref="H47" si="43">(E47-D47)/D47</f>
        <v>-6.7722772277227755E-2</v>
      </c>
      <c r="I47" s="540"/>
      <c r="O47" s="83">
        <v>1.04</v>
      </c>
      <c r="P47" s="83">
        <f t="shared" si="31"/>
        <v>35.568000000000005</v>
      </c>
      <c r="Q47" s="2"/>
      <c r="T47" s="93" t="s">
        <v>102</v>
      </c>
      <c r="U47" s="130">
        <v>30.07</v>
      </c>
      <c r="W47" s="133">
        <v>42688</v>
      </c>
      <c r="X47" s="10">
        <v>27.83</v>
      </c>
      <c r="Y47" s="10">
        <v>28.3</v>
      </c>
      <c r="Z47" s="10">
        <v>27.42</v>
      </c>
      <c r="AA47" s="10">
        <v>28.2</v>
      </c>
      <c r="AB47" s="95">
        <v>5719800</v>
      </c>
      <c r="AC47" s="10">
        <v>28.2</v>
      </c>
      <c r="AD47" s="2">
        <f t="shared" si="1"/>
        <v>0.87999999999999901</v>
      </c>
      <c r="AE47" s="138">
        <f t="shared" si="2"/>
        <v>1.5118790496760237E-2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4">C48*(E48-D48)</f>
        <v>-150</v>
      </c>
      <c r="G48" s="540">
        <f t="shared" ref="G48" si="45">D48*C48</f>
        <v>2525</v>
      </c>
      <c r="H48" s="585">
        <f t="shared" ref="H48" si="46">(E48-D48)/D48</f>
        <v>-5.9405940594059403E-2</v>
      </c>
      <c r="I48" s="540"/>
      <c r="O48" s="83">
        <v>1.03</v>
      </c>
      <c r="P48" s="83">
        <f t="shared" si="31"/>
        <v>35.226000000000006</v>
      </c>
      <c r="Q48" s="2"/>
      <c r="T48" s="93" t="s">
        <v>103</v>
      </c>
      <c r="U48" s="130">
        <v>0.95063699999999995</v>
      </c>
      <c r="W48" s="133">
        <v>42685</v>
      </c>
      <c r="X48" s="10">
        <v>27.1</v>
      </c>
      <c r="Y48" s="10">
        <v>28</v>
      </c>
      <c r="Z48" s="10">
        <v>26.91</v>
      </c>
      <c r="AA48" s="10">
        <v>27.78</v>
      </c>
      <c r="AB48" s="95">
        <v>7297400</v>
      </c>
      <c r="AC48" s="10">
        <v>27.78</v>
      </c>
      <c r="AD48" s="2">
        <f t="shared" si="1"/>
        <v>1.0899999999999999</v>
      </c>
      <c r="AE48" s="138">
        <f t="shared" si="2"/>
        <v>2.3958717287136055E-2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47">C49*(E49-D49)</f>
        <v>-39.000000000000057</v>
      </c>
      <c r="G49" s="540">
        <f t="shared" ref="G49" si="48">D49*C49</f>
        <v>2525</v>
      </c>
      <c r="H49" s="585">
        <f t="shared" ref="H49" si="49">(E49-D49)/D49</f>
        <v>-1.5445544554455468E-2</v>
      </c>
      <c r="I49" s="540"/>
      <c r="O49" s="83">
        <v>1.02</v>
      </c>
      <c r="P49" s="83">
        <f t="shared" si="31"/>
        <v>34.884</v>
      </c>
      <c r="Q49" s="2"/>
      <c r="T49" s="93" t="s">
        <v>122</v>
      </c>
      <c r="U49" s="130" t="s">
        <v>346</v>
      </c>
      <c r="W49" s="133">
        <v>42684</v>
      </c>
      <c r="X49" s="10">
        <v>26.53</v>
      </c>
      <c r="Y49" s="10">
        <v>28.23</v>
      </c>
      <c r="Z49" s="10">
        <v>26.53</v>
      </c>
      <c r="AA49" s="10">
        <v>27.13</v>
      </c>
      <c r="AB49" s="95">
        <v>9181500</v>
      </c>
      <c r="AC49" s="10">
        <v>27.13</v>
      </c>
      <c r="AD49" s="2">
        <f t="shared" si="1"/>
        <v>1.6999999999999993</v>
      </c>
      <c r="AE49" s="138" t="e">
        <f t="shared" si="2"/>
        <v>#DIV/0!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0">C50*(E50-D50)</f>
        <v>-57.999999999999829</v>
      </c>
      <c r="G50" s="540">
        <f t="shared" ref="G50" si="51">D50*C50</f>
        <v>2525</v>
      </c>
      <c r="H50" s="585">
        <f t="shared" ref="H50" si="52">(E50-D50)/D50</f>
        <v>-2.2970297029702904E-2</v>
      </c>
      <c r="I50" s="540"/>
      <c r="O50" s="83">
        <v>1.01</v>
      </c>
      <c r="P50" s="83">
        <f t="shared" si="31"/>
        <v>34.542000000000002</v>
      </c>
      <c r="Q50" s="2"/>
      <c r="T50" s="93"/>
      <c r="U50" s="130"/>
      <c r="W50" s="133">
        <v>42684</v>
      </c>
      <c r="X50" s="10" t="s">
        <v>558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3">C51*(E51-D51)</f>
        <v>78.000000000000114</v>
      </c>
      <c r="G51" s="540">
        <f t="shared" ref="G51:G52" si="54">D51*C51</f>
        <v>2525</v>
      </c>
      <c r="H51" s="585">
        <f t="shared" ref="H51:H52" si="55">(E51-D51)/D51</f>
        <v>3.0891089108910936E-2</v>
      </c>
      <c r="I51" s="540"/>
      <c r="O51" s="83">
        <v>1</v>
      </c>
      <c r="P51" s="83">
        <f t="shared" si="31"/>
        <v>34.200000000000003</v>
      </c>
      <c r="Q51" s="2"/>
      <c r="T51" s="93" t="s">
        <v>105</v>
      </c>
      <c r="U51" s="130" t="s">
        <v>556</v>
      </c>
      <c r="W51" s="133">
        <v>42683</v>
      </c>
      <c r="X51" s="10">
        <v>24.05</v>
      </c>
      <c r="Y51" s="10">
        <v>26.72</v>
      </c>
      <c r="Z51" s="10">
        <v>23.73</v>
      </c>
      <c r="AA51" s="10">
        <v>26.48</v>
      </c>
      <c r="AB51" s="95">
        <v>10914600</v>
      </c>
      <c r="AC51" s="10">
        <v>26.18</v>
      </c>
      <c r="AD51" s="2">
        <f t="shared" si="1"/>
        <v>2.9899999999999984</v>
      </c>
      <c r="AE51" s="138">
        <f t="shared" si="2"/>
        <v>8.8113050706567053E-2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3"/>
        <v>244.00000000000011</v>
      </c>
      <c r="G52" s="540">
        <f t="shared" si="54"/>
        <v>2525</v>
      </c>
      <c r="H52" s="585">
        <f t="shared" si="55"/>
        <v>9.6633663366336678E-2</v>
      </c>
      <c r="I52" s="594">
        <v>23</v>
      </c>
      <c r="O52" s="83">
        <v>0.99</v>
      </c>
      <c r="P52" s="83">
        <f t="shared" si="31"/>
        <v>33.858000000000004</v>
      </c>
      <c r="Q52" s="2"/>
      <c r="T52" s="93" t="s">
        <v>106</v>
      </c>
      <c r="U52" s="130" t="s">
        <v>408</v>
      </c>
      <c r="W52" s="133">
        <v>42682</v>
      </c>
      <c r="X52" s="10">
        <v>23.2</v>
      </c>
      <c r="Y52" s="10">
        <v>24.49</v>
      </c>
      <c r="Z52" s="10">
        <v>23.04</v>
      </c>
      <c r="AA52" s="10">
        <v>24.34</v>
      </c>
      <c r="AB52" s="95">
        <v>8295300</v>
      </c>
      <c r="AC52" s="10">
        <v>24.06</v>
      </c>
      <c r="AD52" s="2">
        <f t="shared" si="1"/>
        <v>1.4499999999999993</v>
      </c>
      <c r="AE52" s="138">
        <f t="shared" si="2"/>
        <v>4.4724272687798328E-2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6">C53*(E53-D53)</f>
        <v>130.00000000000006</v>
      </c>
      <c r="G53" s="540">
        <f t="shared" ref="G53" si="57">D53*C53</f>
        <v>2525</v>
      </c>
      <c r="H53" s="585">
        <f t="shared" ref="H53" si="58">(E53-D53)/D53</f>
        <v>5.148514851485151E-2</v>
      </c>
      <c r="I53" s="540"/>
      <c r="O53" s="83">
        <v>0.98</v>
      </c>
      <c r="P53" s="83">
        <f t="shared" si="31"/>
        <v>33.516000000000005</v>
      </c>
      <c r="Q53" s="2"/>
      <c r="T53" s="93" t="s">
        <v>107</v>
      </c>
      <c r="U53" s="131">
        <v>7960517</v>
      </c>
      <c r="W53" s="133">
        <v>42681</v>
      </c>
      <c r="X53" s="10">
        <v>23.51</v>
      </c>
      <c r="Y53" s="10">
        <v>23.66</v>
      </c>
      <c r="Z53" s="10">
        <v>23.12</v>
      </c>
      <c r="AA53" s="10">
        <v>23.29</v>
      </c>
      <c r="AB53" s="95">
        <v>5833500</v>
      </c>
      <c r="AC53" s="10">
        <v>23.03</v>
      </c>
      <c r="AD53" s="2">
        <f t="shared" si="1"/>
        <v>0.53999999999999915</v>
      </c>
      <c r="AE53" s="138">
        <f t="shared" si="2"/>
        <v>7.8774617067833841E-3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59">C54*(E54-D54)</f>
        <v>135.99999999999994</v>
      </c>
      <c r="G54" s="540">
        <f t="shared" ref="G54" si="60">D54*C54</f>
        <v>2525</v>
      </c>
      <c r="H54" s="585">
        <f t="shared" ref="H54" si="61">(E54-D54)/D54</f>
        <v>5.386138613861384E-2</v>
      </c>
      <c r="I54" s="540"/>
      <c r="O54" s="83">
        <v>0.97</v>
      </c>
      <c r="P54" s="83">
        <f t="shared" si="31"/>
        <v>33.173999999999999</v>
      </c>
      <c r="T54" s="93" t="s">
        <v>110</v>
      </c>
      <c r="U54" s="131">
        <v>5951310</v>
      </c>
      <c r="W54" s="133">
        <v>42678</v>
      </c>
      <c r="X54" s="10">
        <v>22.65</v>
      </c>
      <c r="Y54" s="10">
        <v>23.42</v>
      </c>
      <c r="Z54" s="10">
        <v>22.58</v>
      </c>
      <c r="AA54" s="10">
        <v>23.11</v>
      </c>
      <c r="AB54" s="95">
        <v>7892000</v>
      </c>
      <c r="AC54" s="10">
        <v>22.85</v>
      </c>
      <c r="AD54" s="2">
        <f t="shared" si="1"/>
        <v>0.84000000000000341</v>
      </c>
      <c r="AE54" s="138">
        <f t="shared" si="2"/>
        <v>2.2829006266786189E-2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2">C55*(E55-D55)</f>
        <v>103.99999999999991</v>
      </c>
      <c r="G55" s="540">
        <f t="shared" ref="G55" si="63">D55*C55</f>
        <v>2525</v>
      </c>
      <c r="H55" s="585">
        <f t="shared" ref="H55" si="64">(E55-D55)/D55</f>
        <v>4.1188118811881155E-2</v>
      </c>
      <c r="I55" s="540"/>
      <c r="O55" s="83">
        <v>0.96</v>
      </c>
      <c r="P55" s="83">
        <f t="shared" si="31"/>
        <v>32.832000000000001</v>
      </c>
      <c r="T55" s="93" t="s">
        <v>108</v>
      </c>
      <c r="U55" s="130" t="s">
        <v>557</v>
      </c>
      <c r="W55" s="133">
        <v>42677</v>
      </c>
      <c r="X55" s="10">
        <v>23.57</v>
      </c>
      <c r="Y55" s="10">
        <v>23.57</v>
      </c>
      <c r="Z55" s="10">
        <v>22.18</v>
      </c>
      <c r="AA55" s="10">
        <v>22.6</v>
      </c>
      <c r="AB55" s="95">
        <v>19321100</v>
      </c>
      <c r="AC55" s="10">
        <v>22.34</v>
      </c>
      <c r="AD55" s="2">
        <f t="shared" si="1"/>
        <v>1.3900000000000006</v>
      </c>
      <c r="AE55" s="138">
        <f t="shared" si="2"/>
        <v>-8.5176085176085214E-2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5">C56*(E56-D56)</f>
        <v>-7.0000000000000284</v>
      </c>
      <c r="G56" s="540">
        <f t="shared" ref="G56" si="66">D56*C56</f>
        <v>2525</v>
      </c>
      <c r="H56" s="585">
        <f t="shared" ref="H56" si="67">(E56-D56)/D56</f>
        <v>-2.7722772277227834E-3</v>
      </c>
      <c r="I56" s="540"/>
      <c r="O56" s="83">
        <v>0.95</v>
      </c>
      <c r="P56" s="83">
        <f t="shared" si="31"/>
        <v>32.49</v>
      </c>
      <c r="T56" s="93" t="s">
        <v>111</v>
      </c>
      <c r="U56" s="130">
        <v>114</v>
      </c>
      <c r="W56" s="133">
        <v>42676</v>
      </c>
      <c r="X56" s="10">
        <v>24.79</v>
      </c>
      <c r="Y56" s="10">
        <v>25.11</v>
      </c>
      <c r="Z56" s="10">
        <v>24.56</v>
      </c>
      <c r="AA56" s="10">
        <v>24.7</v>
      </c>
      <c r="AB56" s="95">
        <v>5569300</v>
      </c>
      <c r="AC56" s="10">
        <v>24.42</v>
      </c>
      <c r="AD56" s="2">
        <f t="shared" si="1"/>
        <v>0.55000000000000071</v>
      </c>
      <c r="AE56" s="138">
        <f t="shared" si="2"/>
        <v>-7.7204388459974904E-3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68">C57*(E57-D57)</f>
        <v>7.9999999999998295</v>
      </c>
      <c r="G57" s="540">
        <f t="shared" ref="G57:G63" si="69">D57*C57</f>
        <v>2525</v>
      </c>
      <c r="H57" s="585">
        <f t="shared" ref="H57:H63" si="70">(E57-D57)/D57</f>
        <v>3.1683168316831009E-3</v>
      </c>
      <c r="I57" s="540"/>
      <c r="O57" s="83">
        <v>0.94</v>
      </c>
      <c r="P57" s="83">
        <f t="shared" si="31"/>
        <v>32.148000000000003</v>
      </c>
      <c r="T57" s="93" t="s">
        <v>112</v>
      </c>
      <c r="U57" s="130">
        <v>0.3</v>
      </c>
      <c r="W57" s="133">
        <v>42675</v>
      </c>
      <c r="X57" s="10">
        <v>24.15</v>
      </c>
      <c r="Y57" s="10">
        <v>25.01</v>
      </c>
      <c r="Z57" s="10">
        <v>23.92</v>
      </c>
      <c r="AA57" s="10">
        <v>24.89</v>
      </c>
      <c r="AB57" s="95">
        <v>7449100</v>
      </c>
      <c r="AC57" s="10">
        <v>24.61</v>
      </c>
      <c r="AD57" s="2">
        <f t="shared" si="1"/>
        <v>1.0899999999999999</v>
      </c>
      <c r="AE57" s="138">
        <f t="shared" si="2"/>
        <v>3.6647009267059882E-2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68"/>
        <v>55.278999999999989</v>
      </c>
      <c r="G58" s="540">
        <f t="shared" si="69"/>
        <v>1750.721</v>
      </c>
      <c r="H58" s="585">
        <f t="shared" si="70"/>
        <v>3.1574991103665281E-2</v>
      </c>
      <c r="I58" s="540"/>
      <c r="O58" s="83">
        <v>0.93</v>
      </c>
      <c r="P58" s="83">
        <f t="shared" si="31"/>
        <v>31.806000000000004</v>
      </c>
      <c r="T58" s="93" t="s">
        <v>109</v>
      </c>
      <c r="U58" s="130" t="s">
        <v>644</v>
      </c>
      <c r="W58" s="133">
        <v>42674</v>
      </c>
      <c r="X58" s="10">
        <v>24.46</v>
      </c>
      <c r="Y58" s="10">
        <v>24.8</v>
      </c>
      <c r="Z58" s="10">
        <v>23.94</v>
      </c>
      <c r="AA58" s="10">
        <v>24.01</v>
      </c>
      <c r="AB58" s="95">
        <v>3501100</v>
      </c>
      <c r="AC58" s="10">
        <v>23.74</v>
      </c>
      <c r="AD58" s="2">
        <f t="shared" si="1"/>
        <v>0.85999999999999943</v>
      </c>
      <c r="AE58" s="138">
        <f t="shared" si="2"/>
        <v>-2.0627062706270682E-2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68"/>
        <v>3.8799999999998391</v>
      </c>
      <c r="G59" s="540">
        <f t="shared" si="69"/>
        <v>2464.1200000000003</v>
      </c>
      <c r="H59" s="585">
        <f t="shared" si="70"/>
        <v>1.5745986396765738E-3</v>
      </c>
      <c r="I59" s="540"/>
      <c r="O59" s="83">
        <v>0.92</v>
      </c>
      <c r="P59" s="83">
        <f t="shared" si="31"/>
        <v>31.464000000000006</v>
      </c>
      <c r="W59" s="133">
        <v>42671</v>
      </c>
      <c r="X59" s="10">
        <v>24.62</v>
      </c>
      <c r="Y59" s="10">
        <v>24.93</v>
      </c>
      <c r="Z59" s="10">
        <v>24.09</v>
      </c>
      <c r="AA59" s="10">
        <v>24.52</v>
      </c>
      <c r="AB59" s="95">
        <v>4721800</v>
      </c>
      <c r="AC59" s="10">
        <v>24.24</v>
      </c>
      <c r="AD59" s="2">
        <f t="shared" si="1"/>
        <v>0.83999999999999986</v>
      </c>
      <c r="AE59" s="138">
        <f t="shared" si="2"/>
        <v>-4.1237113402070591E-4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68"/>
        <v>-15.120000000000289</v>
      </c>
      <c r="G60" s="540">
        <f t="shared" si="69"/>
        <v>2464.1200000000003</v>
      </c>
      <c r="H60" s="585">
        <f t="shared" si="70"/>
        <v>-6.1360648020389787E-3</v>
      </c>
      <c r="I60" s="540"/>
      <c r="O60" s="83">
        <v>0.91</v>
      </c>
      <c r="P60" s="83">
        <f t="shared" si="31"/>
        <v>31.122000000000003</v>
      </c>
      <c r="W60" s="133">
        <v>42670</v>
      </c>
      <c r="X60" s="10">
        <v>25.87</v>
      </c>
      <c r="Y60" s="10">
        <v>25.95</v>
      </c>
      <c r="Z60" s="10">
        <v>24.46</v>
      </c>
      <c r="AA60" s="10">
        <v>24.53</v>
      </c>
      <c r="AB60" s="95">
        <v>4568300</v>
      </c>
      <c r="AC60" s="10">
        <v>24.25</v>
      </c>
      <c r="AD60" s="2">
        <f t="shared" si="1"/>
        <v>1.4899999999999984</v>
      </c>
      <c r="AE60" s="138">
        <f t="shared" si="2"/>
        <v>-3.9984164687252632E-2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68"/>
        <v>-442.62000000000012</v>
      </c>
      <c r="G61" s="540">
        <f t="shared" si="69"/>
        <v>4728.62</v>
      </c>
      <c r="H61" s="585">
        <f t="shared" si="70"/>
        <v>-9.360447657033133E-2</v>
      </c>
      <c r="I61" s="540"/>
      <c r="O61" s="83">
        <v>0.9</v>
      </c>
      <c r="P61" s="83">
        <f t="shared" si="31"/>
        <v>30.780000000000005</v>
      </c>
      <c r="W61" s="133">
        <v>42669</v>
      </c>
      <c r="X61" s="10">
        <v>25.45</v>
      </c>
      <c r="Y61" s="10">
        <v>26</v>
      </c>
      <c r="Z61" s="10">
        <v>25.24</v>
      </c>
      <c r="AA61" s="10">
        <v>25.55</v>
      </c>
      <c r="AB61" s="95">
        <v>4572000</v>
      </c>
      <c r="AC61" s="10">
        <v>25.26</v>
      </c>
      <c r="AD61" s="2">
        <f t="shared" si="1"/>
        <v>0.76000000000000156</v>
      </c>
      <c r="AE61" s="138">
        <f t="shared" si="2"/>
        <v>3.9603960396039639E-4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68"/>
        <v>-391.61999999999966</v>
      </c>
      <c r="G62" s="540">
        <f t="shared" si="69"/>
        <v>6820.62</v>
      </c>
      <c r="H62" s="585">
        <f t="shared" si="70"/>
        <v>-5.7417067656605945E-2</v>
      </c>
      <c r="I62" s="540"/>
      <c r="W62" s="133">
        <v>42668</v>
      </c>
      <c r="X62" s="10">
        <v>25.39</v>
      </c>
      <c r="Y62" s="10">
        <v>25.8</v>
      </c>
      <c r="Z62" s="10">
        <v>25.2</v>
      </c>
      <c r="AA62" s="10">
        <v>25.54</v>
      </c>
      <c r="AB62" s="95">
        <v>4860100</v>
      </c>
      <c r="AC62" s="10">
        <v>25.25</v>
      </c>
      <c r="AD62" s="2">
        <f t="shared" si="1"/>
        <v>0.60000000000000142</v>
      </c>
      <c r="AE62" s="138">
        <f t="shared" si="2"/>
        <v>7.5818036711892134E-3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68"/>
        <v>-184.61999999999927</v>
      </c>
      <c r="G63" s="540">
        <f t="shared" si="69"/>
        <v>6820.62</v>
      </c>
      <c r="H63" s="585">
        <f t="shared" si="70"/>
        <v>-2.7067920511624936E-2</v>
      </c>
      <c r="I63" s="540"/>
      <c r="W63" s="133">
        <v>42667</v>
      </c>
      <c r="X63" s="10">
        <v>25.92</v>
      </c>
      <c r="Y63" s="10">
        <v>25.94</v>
      </c>
      <c r="Z63" s="10">
        <v>25</v>
      </c>
      <c r="AA63" s="10">
        <v>25.35</v>
      </c>
      <c r="AB63" s="95">
        <v>4582100</v>
      </c>
      <c r="AC63" s="10">
        <v>25.06</v>
      </c>
      <c r="AD63" s="2">
        <f t="shared" si="1"/>
        <v>0.94000000000000128</v>
      </c>
      <c r="AE63" s="138">
        <f t="shared" si="2"/>
        <v>-2.2239563012095176E-2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1">C64*(E64-D64)</f>
        <v>-349.61999999999944</v>
      </c>
      <c r="G64" s="540">
        <f t="shared" ref="G64:G66" si="72">D64*C64</f>
        <v>6820.62</v>
      </c>
      <c r="H64" s="585">
        <f t="shared" ref="H64:H66" si="73">(E64-D64)/D64</f>
        <v>-5.1259269685160515E-2</v>
      </c>
      <c r="I64" s="540"/>
      <c r="W64" s="133">
        <v>42664</v>
      </c>
      <c r="X64" s="10">
        <v>25.03</v>
      </c>
      <c r="Y64" s="10">
        <v>26.21</v>
      </c>
      <c r="Z64" s="10">
        <v>24.77</v>
      </c>
      <c r="AA64" s="10">
        <v>25.92</v>
      </c>
      <c r="AB64" s="95">
        <v>8578300</v>
      </c>
      <c r="AC64" s="10">
        <v>25.63</v>
      </c>
      <c r="AD64" s="2">
        <f t="shared" si="1"/>
        <v>1.4400000000000013</v>
      </c>
      <c r="AE64" s="138">
        <f t="shared" si="2"/>
        <v>3.7651821862348278E-2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1"/>
        <v>120.79599999999957</v>
      </c>
      <c r="G65" s="540">
        <f t="shared" si="72"/>
        <v>5215.2040000000006</v>
      </c>
      <c r="H65" s="585">
        <f t="shared" si="73"/>
        <v>2.3162277065288252E-2</v>
      </c>
      <c r="I65" s="540"/>
      <c r="W65" s="133">
        <v>42663</v>
      </c>
      <c r="X65" s="10">
        <v>23.8</v>
      </c>
      <c r="Y65" s="10">
        <v>25.36</v>
      </c>
      <c r="Z65" s="10">
        <v>23.53</v>
      </c>
      <c r="AA65" s="10">
        <v>24.98</v>
      </c>
      <c r="AB65" s="95">
        <v>8322600</v>
      </c>
      <c r="AC65" s="10">
        <v>24.7</v>
      </c>
      <c r="AD65" s="2">
        <f t="shared" si="1"/>
        <v>1.8299999999999983</v>
      </c>
      <c r="AE65" s="138">
        <f t="shared" si="2"/>
        <v>3.4338358458961382E-2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1"/>
        <v>151.18000000000009</v>
      </c>
      <c r="G66" s="540">
        <f t="shared" si="72"/>
        <v>4510.82</v>
      </c>
      <c r="H66" s="585">
        <f t="shared" si="73"/>
        <v>3.3514970670521123E-2</v>
      </c>
      <c r="I66" s="540">
        <v>22</v>
      </c>
      <c r="W66" s="133">
        <v>42662</v>
      </c>
      <c r="X66" s="10">
        <v>23.37</v>
      </c>
      <c r="Y66" s="10">
        <v>24.41</v>
      </c>
      <c r="Z66" s="10">
        <v>23.27</v>
      </c>
      <c r="AA66" s="10">
        <v>24.15</v>
      </c>
      <c r="AB66" s="95">
        <v>6426100</v>
      </c>
      <c r="AC66" s="10">
        <v>23.88</v>
      </c>
      <c r="AD66" s="2">
        <f t="shared" si="1"/>
        <v>1.1400000000000006</v>
      </c>
      <c r="AE66" s="138">
        <f t="shared" si="2"/>
        <v>2.9754204398447559E-2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4">C67*(E67-D67)</f>
        <v>37.180000000000035</v>
      </c>
      <c r="G67" s="540">
        <f t="shared" ref="G67" si="75">D67*C67</f>
        <v>4510.82</v>
      </c>
      <c r="H67" s="585">
        <f t="shared" ref="H67" si="76">(E67-D67)/D67</f>
        <v>8.2424038201480074E-3</v>
      </c>
      <c r="I67" s="540"/>
      <c r="W67" s="133">
        <v>42661</v>
      </c>
      <c r="X67" s="10">
        <v>22.86</v>
      </c>
      <c r="Y67" s="10">
        <v>23.63</v>
      </c>
      <c r="Z67" s="10">
        <v>22.73</v>
      </c>
      <c r="AA67" s="10">
        <v>23.46</v>
      </c>
      <c r="AB67" s="95">
        <v>5603400</v>
      </c>
      <c r="AC67" s="10">
        <v>23.19</v>
      </c>
      <c r="AD67" s="2">
        <f>Y67-Z67</f>
        <v>0.89999999999999858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77">C68*(E68-D68)</f>
        <v>93.180000000000263</v>
      </c>
      <c r="G68" s="540">
        <f t="shared" ref="G68" si="78">D68*C68</f>
        <v>4510.82</v>
      </c>
      <c r="H68" s="585">
        <f t="shared" ref="H68" si="79">(E68-D68)/D68</f>
        <v>2.06569980624366E-2</v>
      </c>
      <c r="I68" s="540"/>
      <c r="W68" s="133">
        <v>42660</v>
      </c>
      <c r="X68" s="10">
        <v>22.27</v>
      </c>
      <c r="Y68" s="10">
        <v>22.79</v>
      </c>
      <c r="Z68" s="10">
        <v>22.23</v>
      </c>
      <c r="AA68" s="10">
        <v>22.6</v>
      </c>
      <c r="AB68" s="95">
        <v>5070700</v>
      </c>
      <c r="AC68" s="10">
        <v>22.34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0">C69*(E69-D69)</f>
        <v>227.1800000000006</v>
      </c>
      <c r="G69" s="540">
        <f t="shared" ref="G69" si="81">D69*C69</f>
        <v>4510.82</v>
      </c>
      <c r="H69" s="585">
        <f t="shared" ref="H69" si="82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3">C70*(E70-D70)</f>
        <v>455.18</v>
      </c>
      <c r="G70" s="540">
        <f t="shared" ref="G70" si="84">D70*C70</f>
        <v>4510.82</v>
      </c>
      <c r="H70" s="585">
        <f t="shared" ref="H70" si="85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6">C71*(E71-D71)</f>
        <v>297.18000000000018</v>
      </c>
      <c r="G71" s="540">
        <f t="shared" ref="G71" si="87">D71*C71</f>
        <v>4510.82</v>
      </c>
      <c r="H71" s="585">
        <f t="shared" ref="H71" si="88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89">C72*(E72-D72)</f>
        <v>335.1800000000004</v>
      </c>
      <c r="G72" s="540">
        <f t="shared" ref="G72" si="90">D72*C72</f>
        <v>4510.82</v>
      </c>
      <c r="H72" s="585">
        <f t="shared" ref="H72" si="91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2">C73*(E73-D73)</f>
        <v>285.1800000000004</v>
      </c>
      <c r="G73" s="540">
        <f t="shared" ref="G73" si="93">D73*C73</f>
        <v>4510.82</v>
      </c>
      <c r="H73" s="585">
        <f t="shared" ref="H73" si="94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5">C74*(E74-D74)</f>
        <v>485.1800000000004</v>
      </c>
      <c r="G74" s="540">
        <f t="shared" ref="G74" si="96">D74*C74</f>
        <v>4510.82</v>
      </c>
      <c r="H74" s="585">
        <f t="shared" ref="H74" si="97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98">C75*(E75-D75)</f>
        <v>723.18000000000075</v>
      </c>
      <c r="G75" s="540">
        <f t="shared" ref="G75:G76" si="99">D75*C75</f>
        <v>4510.82</v>
      </c>
      <c r="H75" s="585">
        <f t="shared" ref="H75:H76" si="100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98"/>
        <v>699.18000000000052</v>
      </c>
      <c r="G76" s="540">
        <f t="shared" si="99"/>
        <v>4420.82</v>
      </c>
      <c r="H76" s="585">
        <f t="shared" si="100"/>
        <v>0.15815617917038027</v>
      </c>
      <c r="I76" s="540" t="s">
        <v>190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1">C77*(E77-D77)</f>
        <v>767.18000000000052</v>
      </c>
      <c r="G77" s="540">
        <f t="shared" ref="G77" si="102">D77*C77</f>
        <v>4420.82</v>
      </c>
      <c r="H77" s="585">
        <f t="shared" ref="H77" si="103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4">C78*(E78-D78)</f>
        <v>709.18</v>
      </c>
      <c r="G78" s="540">
        <f t="shared" ref="G78:G79" si="105">D78*C78</f>
        <v>4420.82</v>
      </c>
      <c r="H78" s="585">
        <f t="shared" ref="H78:H79" si="106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4"/>
        <v>686</v>
      </c>
      <c r="G79" s="540">
        <f t="shared" si="105"/>
        <v>4420</v>
      </c>
      <c r="H79" s="585">
        <f t="shared" si="106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07">C80*(E80-D80)</f>
        <v>783.95199999999988</v>
      </c>
      <c r="G80" s="540">
        <f t="shared" ref="G80" si="108">D80*C80</f>
        <v>3369.6480000000001</v>
      </c>
      <c r="H80" s="585">
        <f t="shared" ref="H80" si="109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0">C81*(E81-D81)</f>
        <v>630.35199999999975</v>
      </c>
      <c r="G81" s="540">
        <f t="shared" ref="G81" si="111">D81*C81</f>
        <v>3369.6480000000001</v>
      </c>
      <c r="H81" s="585">
        <f t="shared" ref="H81" si="112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3">C82*(E82-D82)</f>
        <v>711.952</v>
      </c>
      <c r="G82" s="540">
        <f t="shared" ref="G82:G83" si="114">D82*C82</f>
        <v>3369.6480000000001</v>
      </c>
      <c r="H82" s="585">
        <f t="shared" ref="H82:H83" si="115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3"/>
        <v>449.16000000000054</v>
      </c>
      <c r="G83" s="540">
        <f t="shared" si="114"/>
        <v>4352.84</v>
      </c>
      <c r="H83" s="585">
        <f t="shared" si="115"/>
        <v>0.10318780382462957</v>
      </c>
      <c r="I83" s="540" t="s">
        <v>305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6">C84*(E84-D84)</f>
        <v>383.1600000000002</v>
      </c>
      <c r="G84" s="540">
        <f t="shared" ref="G84" si="117">D84*C84</f>
        <v>4352.84</v>
      </c>
      <c r="H84" s="585">
        <f t="shared" ref="H84" si="118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19">C85*(E85-D85)</f>
        <v>307.16000000000037</v>
      </c>
      <c r="G85" s="540">
        <f t="shared" ref="G85" si="120">D85*C85</f>
        <v>4352.84</v>
      </c>
      <c r="H85" s="585">
        <f t="shared" ref="H85" si="121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2">C86*(E86-D86)</f>
        <v>253.16000000000045</v>
      </c>
      <c r="G86" s="540">
        <f t="shared" ref="G86" si="123">D86*C86</f>
        <v>4352.84</v>
      </c>
      <c r="H86" s="585">
        <f t="shared" ref="H86" si="124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5">C87*(E87-D87)</f>
        <v>173.16000000000003</v>
      </c>
      <c r="G87" s="540">
        <f t="shared" ref="G87" si="126">D87*C87</f>
        <v>4352.84</v>
      </c>
      <c r="H87" s="585">
        <f t="shared" ref="H87" si="127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28">C88*(E88-D88)</f>
        <v>211.11000000000041</v>
      </c>
      <c r="G88" s="540">
        <f t="shared" ref="G88:G93" si="129">D88*C88</f>
        <v>6580.8899999999994</v>
      </c>
      <c r="H88" s="585">
        <f t="shared" ref="H88:H93" si="130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28"/>
        <v>229.10000000000039</v>
      </c>
      <c r="G89" s="540">
        <f t="shared" si="129"/>
        <v>4298.8999999999996</v>
      </c>
      <c r="H89" s="585">
        <f t="shared" si="130"/>
        <v>5.3292702784433321E-2</v>
      </c>
      <c r="I89" s="540" t="s">
        <v>306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28"/>
        <v>491.10000000000014</v>
      </c>
      <c r="G90" s="540">
        <f t="shared" si="129"/>
        <v>4298.8999999999996</v>
      </c>
      <c r="H90" s="585">
        <f t="shared" si="130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28"/>
        <v>572.27799999999979</v>
      </c>
      <c r="G91" s="540">
        <f t="shared" si="129"/>
        <v>2815.7220000000002</v>
      </c>
      <c r="H91" s="585">
        <f t="shared" si="130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28"/>
        <v>566.27999999999975</v>
      </c>
      <c r="G92" s="540">
        <f t="shared" si="129"/>
        <v>4273.72</v>
      </c>
      <c r="H92" s="585">
        <f t="shared" si="130"/>
        <v>0.13250283125707807</v>
      </c>
      <c r="I92" s="540" t="s">
        <v>306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28"/>
        <v>698.27999999999975</v>
      </c>
      <c r="G93" s="540">
        <f t="shared" si="129"/>
        <v>4273.72</v>
      </c>
      <c r="H93" s="585">
        <f t="shared" si="130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1">C94*(E94-D94)</f>
        <v>658.27999999999986</v>
      </c>
      <c r="G94" s="540">
        <f t="shared" ref="G94" si="132">D94*C94</f>
        <v>4273.72</v>
      </c>
      <c r="H94" s="585">
        <f t="shared" ref="H94" si="133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4">C95*(E95-D95)</f>
        <v>516.27999999999975</v>
      </c>
      <c r="G95" s="540">
        <f t="shared" ref="G95:G96" si="135">D95*C95</f>
        <v>4273.72</v>
      </c>
      <c r="H95" s="585">
        <f t="shared" ref="H95:H96" si="136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4"/>
        <v>508.29000000000059</v>
      </c>
      <c r="G96" s="540">
        <f t="shared" si="135"/>
        <v>6529.71</v>
      </c>
      <c r="H96" s="585">
        <f t="shared" si="136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37">C97*(E97-D97)</f>
        <v>713.99999999999966</v>
      </c>
      <c r="G97" s="540">
        <f t="shared" ref="G97:G98" si="138">D97*C97</f>
        <v>6531</v>
      </c>
      <c r="H97" s="585">
        <f t="shared" ref="H97:H98" si="139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37"/>
        <v>956.25400000000025</v>
      </c>
      <c r="G98" s="540">
        <f t="shared" si="138"/>
        <v>5538.5460000000003</v>
      </c>
      <c r="H98" s="585">
        <f t="shared" si="139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0">C99*(E99-D99)</f>
        <v>1200.6540000000007</v>
      </c>
      <c r="G99" s="540">
        <f t="shared" ref="G99" si="141">D99*C99</f>
        <v>5538.5460000000003</v>
      </c>
      <c r="H99" s="585">
        <f t="shared" ref="H99" si="142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3">C100*(E100-D100)</f>
        <v>1052.4540000000006</v>
      </c>
      <c r="G100" s="540">
        <f t="shared" ref="G100:G105" si="144">D100*C100</f>
        <v>5538.5460000000003</v>
      </c>
      <c r="H100" s="585">
        <f t="shared" ref="H100:H105" si="145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3"/>
        <v>698.16000000000042</v>
      </c>
      <c r="G101" s="540">
        <f t="shared" si="144"/>
        <v>6504.84</v>
      </c>
      <c r="H101" s="585">
        <f t="shared" si="145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3"/>
        <v>984.12000000000012</v>
      </c>
      <c r="G102" s="540">
        <f t="shared" si="144"/>
        <v>6482.88</v>
      </c>
      <c r="H102" s="585">
        <f t="shared" si="145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3"/>
        <v>352.68200000000064</v>
      </c>
      <c r="G103" s="540">
        <f t="shared" si="144"/>
        <v>7331.3180000000002</v>
      </c>
      <c r="H103" s="585">
        <f t="shared" si="145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3"/>
        <v>2320.6080000000002</v>
      </c>
      <c r="G104" s="540">
        <f t="shared" si="144"/>
        <v>4531.3919999999998</v>
      </c>
      <c r="H104" s="585">
        <f t="shared" si="145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3"/>
        <v>2541.7799999999997</v>
      </c>
      <c r="G105" s="540">
        <f t="shared" si="144"/>
        <v>3246.2200000000003</v>
      </c>
      <c r="H105" s="585">
        <f t="shared" si="145"/>
        <v>0.78299683940090314</v>
      </c>
      <c r="I105" s="540" t="s">
        <v>350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231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6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47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6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47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6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47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6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47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6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47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6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47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6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47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6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6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6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6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6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8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231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49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49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49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199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0">SumByColor($A$19,M137:M152)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3" priority="25">
      <formula>F52&gt;0</formula>
    </cfRule>
    <cfRule type="expression" dxfId="312" priority="26">
      <formula>F52&lt;0</formula>
    </cfRule>
  </conditionalFormatting>
  <conditionalFormatting sqref="Q7">
    <cfRule type="expression" dxfId="311" priority="19">
      <formula>Q7&gt;0</formula>
    </cfRule>
    <cfRule type="expression" dxfId="310" priority="20">
      <formula>Q7&lt;0</formula>
    </cfRule>
  </conditionalFormatting>
  <conditionalFormatting sqref="Q8">
    <cfRule type="expression" dxfId="309" priority="17">
      <formula>Q8&gt;0</formula>
    </cfRule>
    <cfRule type="expression" dxfId="308" priority="18">
      <formula>Q8&lt;0</formula>
    </cfRule>
  </conditionalFormatting>
  <conditionalFormatting sqref="F44:F51">
    <cfRule type="expression" dxfId="307" priority="15">
      <formula>F44&gt;0</formula>
    </cfRule>
    <cfRule type="expression" dxfId="306" priority="16">
      <formula>F44&lt;0</formula>
    </cfRule>
  </conditionalFormatting>
  <conditionalFormatting sqref="H44:H51">
    <cfRule type="expression" dxfId="305" priority="13">
      <formula>H44&gt;0</formula>
    </cfRule>
    <cfRule type="expression" dxfId="304" priority="14">
      <formula>H44&lt;0</formula>
    </cfRule>
  </conditionalFormatting>
  <conditionalFormatting sqref="F89:F90 H89:H90">
    <cfRule type="expression" dxfId="303" priority="11">
      <formula>F89&gt;0</formula>
    </cfRule>
    <cfRule type="expression" dxfId="302" priority="12">
      <formula>F89&lt;0</formula>
    </cfRule>
  </conditionalFormatting>
  <conditionalFormatting sqref="H97 F97">
    <cfRule type="expression" dxfId="301" priority="9">
      <formula>F97&gt;0</formula>
    </cfRule>
    <cfRule type="expression" dxfId="300" priority="10">
      <formula>F97&lt;0</formula>
    </cfRule>
  </conditionalFormatting>
  <conditionalFormatting sqref="F24:F31">
    <cfRule type="expression" dxfId="299" priority="7">
      <formula>F24&gt;0</formula>
    </cfRule>
    <cfRule type="expression" dxfId="298" priority="8">
      <formula>F24&lt;0</formula>
    </cfRule>
  </conditionalFormatting>
  <conditionalFormatting sqref="H24:H31">
    <cfRule type="expression" dxfId="297" priority="5">
      <formula>H24&gt;0</formula>
    </cfRule>
    <cfRule type="expression" dxfId="296" priority="6">
      <formula>H24&lt;0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465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253</v>
      </c>
      <c r="W2" s="133">
        <v>42755</v>
      </c>
      <c r="X2" s="10">
        <v>65.39</v>
      </c>
      <c r="Y2" s="10">
        <v>65.41</v>
      </c>
      <c r="Z2" s="10">
        <v>63.78</v>
      </c>
      <c r="AA2" s="10">
        <v>64.099999999999994</v>
      </c>
      <c r="AB2" s="95">
        <v>12839300</v>
      </c>
      <c r="AC2" s="10">
        <v>64.099999999999994</v>
      </c>
      <c r="AD2" s="2">
        <f>Y2-Z2</f>
        <v>1.6299999999999955</v>
      </c>
      <c r="AE2" s="138">
        <f>AC2/AC3-1</f>
        <v>-1.9727787123413498E-2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254</v>
      </c>
      <c r="W3" s="133">
        <v>42754</v>
      </c>
      <c r="X3" s="10">
        <v>66.33</v>
      </c>
      <c r="Y3" s="10">
        <v>66.88</v>
      </c>
      <c r="Z3" s="10">
        <v>65.06</v>
      </c>
      <c r="AA3" s="10">
        <v>65.39</v>
      </c>
      <c r="AB3" s="95">
        <v>12244100</v>
      </c>
      <c r="AC3" s="10">
        <v>65.39</v>
      </c>
      <c r="AD3" s="2">
        <f t="shared" ref="AD3:AD66" si="1">Y3-Z3</f>
        <v>1.8199999999999932</v>
      </c>
      <c r="AE3" s="138">
        <f t="shared" ref="AE3:AE66" si="2">AC3/AC4-1</f>
        <v>-2.1839940164547378E-2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64.099999999999994</v>
      </c>
      <c r="R4" s="529">
        <v>-1.9699999999999999E-2</v>
      </c>
      <c r="T4" s="163">
        <v>42633</v>
      </c>
      <c r="U4" s="1" t="s">
        <v>292</v>
      </c>
      <c r="W4" s="133">
        <v>42753</v>
      </c>
      <c r="X4" s="10">
        <v>68</v>
      </c>
      <c r="Y4" s="10">
        <v>68</v>
      </c>
      <c r="Z4" s="10">
        <v>66.349999999999994</v>
      </c>
      <c r="AA4" s="10">
        <v>66.849999999999994</v>
      </c>
      <c r="AB4" s="95">
        <v>19014500</v>
      </c>
      <c r="AC4" s="10">
        <v>66.849999999999994</v>
      </c>
      <c r="AD4" s="2">
        <f t="shared" si="1"/>
        <v>1.6500000000000057</v>
      </c>
      <c r="AE4" s="138">
        <f t="shared" si="2"/>
        <v>-5.7654355793628431E-2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1922.9999999999998</v>
      </c>
      <c r="T5" t="s">
        <v>395</v>
      </c>
      <c r="W5" s="133">
        <v>42752</v>
      </c>
      <c r="X5" s="10">
        <v>70.760000000000005</v>
      </c>
      <c r="Y5" s="10">
        <v>72.08</v>
      </c>
      <c r="Z5" s="10">
        <v>70.63</v>
      </c>
      <c r="AA5" s="10">
        <v>70.94</v>
      </c>
      <c r="AB5" s="95">
        <v>5424700</v>
      </c>
      <c r="AC5" s="10">
        <v>70.94</v>
      </c>
      <c r="AD5" s="2">
        <f t="shared" si="1"/>
        <v>1.4500000000000028</v>
      </c>
      <c r="AE5" s="138">
        <f t="shared" si="2"/>
        <v>1.0685282803818197E-2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42748</v>
      </c>
      <c r="X6" s="10">
        <v>71.069999999999993</v>
      </c>
      <c r="Y6" s="10">
        <v>71.38</v>
      </c>
      <c r="Z6" s="10">
        <v>70.03</v>
      </c>
      <c r="AA6" s="10">
        <v>70.19</v>
      </c>
      <c r="AB6" s="95">
        <v>5332300</v>
      </c>
      <c r="AC6" s="10">
        <v>70.19</v>
      </c>
      <c r="AD6" s="2">
        <f t="shared" si="1"/>
        <v>1.3499999999999943</v>
      </c>
      <c r="AE6" s="138">
        <f t="shared" si="2"/>
        <v>-1.4877192982456156E-2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-17.400000000000318</v>
      </c>
      <c r="R7" s="30">
        <v>42786</v>
      </c>
      <c r="W7" s="133">
        <v>42747</v>
      </c>
      <c r="X7" s="10">
        <v>71.430000000000007</v>
      </c>
      <c r="Y7" s="10">
        <v>71.709999999999994</v>
      </c>
      <c r="Z7" s="10">
        <v>70.790000000000006</v>
      </c>
      <c r="AA7" s="10">
        <v>71.25</v>
      </c>
      <c r="AB7" s="95">
        <v>4161400</v>
      </c>
      <c r="AC7" s="10">
        <v>71.25</v>
      </c>
      <c r="AD7" s="2">
        <f t="shared" si="1"/>
        <v>0.91999999999998749</v>
      </c>
      <c r="AE7" s="138">
        <f t="shared" si="2"/>
        <v>-5.0272308336823945E-3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-17.400000000000318</v>
      </c>
      <c r="W8" s="133">
        <v>42746</v>
      </c>
      <c r="X8" s="10">
        <v>71.680000000000007</v>
      </c>
      <c r="Y8" s="10">
        <v>71.930000000000007</v>
      </c>
      <c r="Z8" s="10">
        <v>71.33</v>
      </c>
      <c r="AA8" s="10">
        <v>71.61</v>
      </c>
      <c r="AB8" s="95">
        <v>3471200</v>
      </c>
      <c r="AC8" s="10">
        <v>71.61</v>
      </c>
      <c r="AD8" s="2">
        <f t="shared" si="1"/>
        <v>0.60000000000000853</v>
      </c>
      <c r="AE8" s="138">
        <f t="shared" si="2"/>
        <v>2.5199496010079869E-3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-8.9672232529377019E-3</v>
      </c>
      <c r="W9" s="133">
        <v>42745</v>
      </c>
      <c r="X9" s="10">
        <v>71.38</v>
      </c>
      <c r="Y9" s="10">
        <v>72.010000000000005</v>
      </c>
      <c r="Z9" s="10">
        <v>71.010000000000005</v>
      </c>
      <c r="AA9" s="10">
        <v>71.430000000000007</v>
      </c>
      <c r="AB9" s="95">
        <v>4678000</v>
      </c>
      <c r="AC9" s="10">
        <v>71.430000000000007</v>
      </c>
      <c r="AD9" s="2">
        <f t="shared" si="1"/>
        <v>1</v>
      </c>
      <c r="AE9" s="138">
        <f t="shared" si="2"/>
        <v>0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v>0</v>
      </c>
      <c r="W10" s="133">
        <v>42744</v>
      </c>
      <c r="X10" s="10">
        <v>71.55</v>
      </c>
      <c r="Y10" s="10">
        <v>71.87</v>
      </c>
      <c r="Z10" s="10">
        <v>71.36</v>
      </c>
      <c r="AA10" s="10">
        <v>71.430000000000007</v>
      </c>
      <c r="AB10" s="95">
        <v>3807100</v>
      </c>
      <c r="AC10" s="10">
        <v>71.430000000000007</v>
      </c>
      <c r="AD10" s="2">
        <f t="shared" si="1"/>
        <v>0.51000000000000512</v>
      </c>
      <c r="AE10" s="138">
        <f t="shared" si="2"/>
        <v>-1.399776035833078E-4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42741</v>
      </c>
      <c r="X11" s="10">
        <v>71.98</v>
      </c>
      <c r="Y11" s="10">
        <v>72.23</v>
      </c>
      <c r="Z11" s="10">
        <v>71.180000000000007</v>
      </c>
      <c r="AA11" s="10">
        <v>71.44</v>
      </c>
      <c r="AB11" s="95">
        <v>5230000</v>
      </c>
      <c r="AC11" s="10">
        <v>71.44</v>
      </c>
      <c r="AD11" s="2">
        <f t="shared" si="1"/>
        <v>1.0499999999999972</v>
      </c>
      <c r="AE11" s="138">
        <f t="shared" si="2"/>
        <v>-1.5435501653803807E-2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42740</v>
      </c>
      <c r="X12" s="10">
        <v>72.33</v>
      </c>
      <c r="Y12" s="10">
        <v>72.72</v>
      </c>
      <c r="Z12" s="10">
        <v>70.849999999999994</v>
      </c>
      <c r="AA12" s="10">
        <v>72.56</v>
      </c>
      <c r="AB12" s="95">
        <v>7086000</v>
      </c>
      <c r="AC12" s="10">
        <v>72.56</v>
      </c>
      <c r="AD12" s="2">
        <f t="shared" si="1"/>
        <v>1.8700000000000045</v>
      </c>
      <c r="AE12" s="138">
        <f t="shared" si="2"/>
        <v>-1.6935374610486331E-2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42739</v>
      </c>
      <c r="X13" s="10">
        <v>73.099999999999994</v>
      </c>
      <c r="Y13" s="10">
        <v>74.239999999999995</v>
      </c>
      <c r="Z13" s="10">
        <v>73.099999999999994</v>
      </c>
      <c r="AA13" s="10">
        <v>73.81</v>
      </c>
      <c r="AB13" s="95">
        <v>5277000</v>
      </c>
      <c r="AC13" s="10">
        <v>73.81</v>
      </c>
      <c r="AD13" s="2">
        <f t="shared" si="1"/>
        <v>1.1400000000000006</v>
      </c>
      <c r="AE13" s="138">
        <f t="shared" si="2"/>
        <v>1.4570446735395315E-2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42738</v>
      </c>
      <c r="X14" s="10">
        <v>72.66</v>
      </c>
      <c r="Y14" s="10">
        <v>72.89</v>
      </c>
      <c r="Z14" s="10">
        <v>71.989999999999995</v>
      </c>
      <c r="AA14" s="10">
        <v>72.75</v>
      </c>
      <c r="AB14" s="95">
        <v>3885600</v>
      </c>
      <c r="AC14" s="10">
        <v>72.75</v>
      </c>
      <c r="AD14" s="2">
        <f t="shared" si="1"/>
        <v>0.90000000000000568</v>
      </c>
      <c r="AE14" s="138">
        <f t="shared" si="2"/>
        <v>7.1992246988785702E-3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42734</v>
      </c>
      <c r="X15" s="10">
        <v>72.709999999999994</v>
      </c>
      <c r="Y15" s="10">
        <v>72.930000000000007</v>
      </c>
      <c r="Z15" s="10">
        <v>71.88</v>
      </c>
      <c r="AA15" s="10">
        <v>72.23</v>
      </c>
      <c r="AB15" s="95">
        <v>3030400</v>
      </c>
      <c r="AC15" s="10">
        <v>72.23</v>
      </c>
      <c r="AD15" s="2">
        <f t="shared" si="1"/>
        <v>1.0500000000000114</v>
      </c>
      <c r="AE15" s="138">
        <f t="shared" si="2"/>
        <v>-5.3704213715229931E-3</v>
      </c>
    </row>
    <row r="16" spans="1:31" x14ac:dyDescent="0.25">
      <c r="G16" s="30"/>
      <c r="H16" s="72"/>
      <c r="W16" s="133">
        <v>42733</v>
      </c>
      <c r="X16" s="10">
        <v>72.78</v>
      </c>
      <c r="Y16" s="10">
        <v>73.17</v>
      </c>
      <c r="Z16" s="10">
        <v>72.430000000000007</v>
      </c>
      <c r="AA16" s="10">
        <v>72.62</v>
      </c>
      <c r="AB16" s="95">
        <v>2795300</v>
      </c>
      <c r="AC16" s="10">
        <v>72.62</v>
      </c>
      <c r="AD16" s="2">
        <f t="shared" si="1"/>
        <v>0.73999999999999488</v>
      </c>
      <c r="AE16" s="138">
        <f t="shared" si="2"/>
        <v>-2.883427159137586E-3</v>
      </c>
    </row>
    <row r="17" spans="1:31" x14ac:dyDescent="0.25">
      <c r="G17" s="30"/>
      <c r="W17" s="133">
        <v>42732</v>
      </c>
      <c r="X17" s="10">
        <v>73.75</v>
      </c>
      <c r="Y17" s="10">
        <v>73.98</v>
      </c>
      <c r="Z17" s="10">
        <v>72.75</v>
      </c>
      <c r="AA17" s="10">
        <v>72.83</v>
      </c>
      <c r="AB17" s="95">
        <v>2615300</v>
      </c>
      <c r="AC17" s="10">
        <v>72.83</v>
      </c>
      <c r="AD17" s="2">
        <f t="shared" si="1"/>
        <v>1.230000000000004</v>
      </c>
      <c r="AE17" s="138">
        <f t="shared" si="2"/>
        <v>-1.1804613297150657E-2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42731</v>
      </c>
      <c r="X18" s="10">
        <v>73.83</v>
      </c>
      <c r="Y18" s="10">
        <v>74.23</v>
      </c>
      <c r="Z18" s="10">
        <v>73.56</v>
      </c>
      <c r="AA18" s="10">
        <v>73.7</v>
      </c>
      <c r="AB18" s="95">
        <v>2199800</v>
      </c>
      <c r="AC18" s="10">
        <v>73.7</v>
      </c>
      <c r="AD18" s="2">
        <f t="shared" si="1"/>
        <v>0.67000000000000171</v>
      </c>
      <c r="AE18" s="138">
        <f t="shared" si="2"/>
        <v>2.7210884353741083E-3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42727</v>
      </c>
      <c r="X19" s="10">
        <v>73.98</v>
      </c>
      <c r="Y19" s="10">
        <v>74.48</v>
      </c>
      <c r="Z19" s="10">
        <v>73.290000000000006</v>
      </c>
      <c r="AA19" s="10">
        <v>73.5</v>
      </c>
      <c r="AB19" s="95">
        <v>3329300</v>
      </c>
      <c r="AC19" s="10">
        <v>73.5</v>
      </c>
      <c r="AD19" s="2">
        <f t="shared" si="1"/>
        <v>1.1899999999999977</v>
      </c>
      <c r="AE19" s="138">
        <f t="shared" si="2"/>
        <v>-3.2546786004881145E-3</v>
      </c>
    </row>
    <row r="20" spans="1:31" x14ac:dyDescent="0.25">
      <c r="W20" s="133">
        <v>42726</v>
      </c>
      <c r="X20" s="10">
        <v>76.849999999999994</v>
      </c>
      <c r="Y20" s="10">
        <v>77</v>
      </c>
      <c r="Z20" s="10">
        <v>73.41</v>
      </c>
      <c r="AA20" s="10">
        <v>73.739999999999995</v>
      </c>
      <c r="AB20" s="95">
        <v>8416800</v>
      </c>
      <c r="AC20" s="10">
        <v>73.739999999999995</v>
      </c>
      <c r="AD20" s="2">
        <f t="shared" si="1"/>
        <v>3.5900000000000034</v>
      </c>
      <c r="AE20" s="138">
        <f t="shared" si="2"/>
        <v>-4.395176973940107E-2</v>
      </c>
    </row>
    <row r="21" spans="1:31" x14ac:dyDescent="0.25">
      <c r="W21" s="133">
        <v>42725</v>
      </c>
      <c r="X21" s="10">
        <v>77.37</v>
      </c>
      <c r="Y21" s="10">
        <v>77.87</v>
      </c>
      <c r="Z21" s="10">
        <v>77.12</v>
      </c>
      <c r="AA21" s="10">
        <v>77.13</v>
      </c>
      <c r="AB21" s="95">
        <v>2132900</v>
      </c>
      <c r="AC21" s="10">
        <v>77.13</v>
      </c>
      <c r="AD21" s="2">
        <f t="shared" si="1"/>
        <v>0.75</v>
      </c>
      <c r="AE21" s="138">
        <f t="shared" si="2"/>
        <v>-6.6967160334837628E-3</v>
      </c>
    </row>
    <row r="22" spans="1:31" x14ac:dyDescent="0.25">
      <c r="W22" s="133">
        <v>42724</v>
      </c>
      <c r="X22" s="10">
        <v>77.349999999999994</v>
      </c>
      <c r="Y22" s="10">
        <v>78</v>
      </c>
      <c r="Z22" s="10">
        <v>77.260000000000005</v>
      </c>
      <c r="AA22" s="10">
        <v>77.650000000000006</v>
      </c>
      <c r="AB22" s="95">
        <v>3483500</v>
      </c>
      <c r="AC22" s="10">
        <v>77.650000000000006</v>
      </c>
      <c r="AD22" s="2">
        <f t="shared" si="1"/>
        <v>0.73999999999999488</v>
      </c>
      <c r="AE22" s="138">
        <f t="shared" si="2"/>
        <v>7.917964693665569E-3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76.58</v>
      </c>
      <c r="Y23" s="10">
        <v>77.64</v>
      </c>
      <c r="Z23" s="10">
        <v>76.52</v>
      </c>
      <c r="AA23" s="10">
        <v>77.040000000000006</v>
      </c>
      <c r="AB23" s="95">
        <v>2820900</v>
      </c>
      <c r="AC23" s="10">
        <v>77.040000000000006</v>
      </c>
      <c r="AD23" s="2">
        <f t="shared" si="1"/>
        <v>1.1200000000000045</v>
      </c>
      <c r="AE23" s="138">
        <f t="shared" si="2"/>
        <v>3.7785016286646655E-3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42720</v>
      </c>
      <c r="X24" s="10">
        <v>77.040000000000006</v>
      </c>
      <c r="Y24" s="10">
        <v>78.37</v>
      </c>
      <c r="Z24" s="10">
        <v>76.47</v>
      </c>
      <c r="AA24" s="10">
        <v>76.75</v>
      </c>
      <c r="AB24" s="95">
        <v>8105800</v>
      </c>
      <c r="AC24" s="10">
        <v>76.75</v>
      </c>
      <c r="AD24" s="2">
        <f t="shared" si="1"/>
        <v>1.9000000000000057</v>
      </c>
      <c r="AE24" s="138">
        <f t="shared" si="2"/>
        <v>-2.9877890361132975E-3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42719</v>
      </c>
      <c r="X25" s="10">
        <v>77.14</v>
      </c>
      <c r="Y25" s="10">
        <v>77.69</v>
      </c>
      <c r="Z25" s="10">
        <v>76.790000000000006</v>
      </c>
      <c r="AA25" s="10">
        <v>76.98</v>
      </c>
      <c r="AB25" s="95">
        <v>3909900</v>
      </c>
      <c r="AC25" s="10">
        <v>76.98</v>
      </c>
      <c r="AD25" s="2">
        <f t="shared" si="1"/>
        <v>0.89999999999999147</v>
      </c>
      <c r="AE25" s="138">
        <f t="shared" si="2"/>
        <v>-2.7205596579866764E-3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42718</v>
      </c>
      <c r="X26" s="10">
        <v>77.45</v>
      </c>
      <c r="Y26" s="10">
        <v>77.849999999999994</v>
      </c>
      <c r="Z26" s="10">
        <v>76.849999999999994</v>
      </c>
      <c r="AA26" s="10">
        <v>77.19</v>
      </c>
      <c r="AB26" s="95">
        <v>5972800</v>
      </c>
      <c r="AC26" s="10">
        <v>77.19</v>
      </c>
      <c r="AD26" s="2">
        <f t="shared" si="1"/>
        <v>1</v>
      </c>
      <c r="AE26" s="138">
        <f t="shared" si="2"/>
        <v>-6.1799922750097602E-3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42717</v>
      </c>
      <c r="X27" s="10">
        <v>77</v>
      </c>
      <c r="Y27" s="10">
        <v>78.06</v>
      </c>
      <c r="Z27" s="10">
        <v>76.489999999999995</v>
      </c>
      <c r="AA27" s="10">
        <v>77.67</v>
      </c>
      <c r="AB27" s="95">
        <v>4866700</v>
      </c>
      <c r="AC27" s="10">
        <v>77.67</v>
      </c>
      <c r="AD27" s="2">
        <f t="shared" si="1"/>
        <v>1.5700000000000074</v>
      </c>
      <c r="AE27" s="138">
        <f t="shared" si="2"/>
        <v>1.2118842845973532E-2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42716</v>
      </c>
      <c r="X28" s="10">
        <v>76.98</v>
      </c>
      <c r="Y28" s="10">
        <v>77.430000000000007</v>
      </c>
      <c r="Z28" s="10">
        <v>76.349999999999994</v>
      </c>
      <c r="AA28" s="10">
        <v>76.739999999999995</v>
      </c>
      <c r="AB28" s="95">
        <v>4444700</v>
      </c>
      <c r="AC28" s="10">
        <v>76.739999999999995</v>
      </c>
      <c r="AD28" s="2">
        <f t="shared" si="1"/>
        <v>1.0800000000000125</v>
      </c>
      <c r="AE28" s="138">
        <f t="shared" si="2"/>
        <v>-8.3990179609769733E-3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42713</v>
      </c>
      <c r="X29" s="10">
        <v>77.44</v>
      </c>
      <c r="Y29" s="10">
        <v>77.69</v>
      </c>
      <c r="Z29" s="10">
        <v>76.88</v>
      </c>
      <c r="AA29" s="10">
        <v>77.39</v>
      </c>
      <c r="AB29" s="95">
        <v>4018600</v>
      </c>
      <c r="AC29" s="10">
        <v>77.39</v>
      </c>
      <c r="AD29" s="2">
        <f t="shared" si="1"/>
        <v>0.81000000000000227</v>
      </c>
      <c r="AE29" s="138">
        <f t="shared" si="2"/>
        <v>-5.7810894141829827E-3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42712</v>
      </c>
      <c r="X30" s="10">
        <v>77.349999999999994</v>
      </c>
      <c r="Y30" s="10">
        <v>78.42</v>
      </c>
      <c r="Z30" s="10">
        <v>77.16</v>
      </c>
      <c r="AA30" s="10">
        <v>77.84</v>
      </c>
      <c r="AB30" s="95">
        <v>5049100</v>
      </c>
      <c r="AC30" s="10">
        <v>77.84</v>
      </c>
      <c r="AD30" s="2">
        <f t="shared" si="1"/>
        <v>1.2600000000000051</v>
      </c>
      <c r="AE30" s="138">
        <f t="shared" si="2"/>
        <v>1.1303105105885392E-2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42711</v>
      </c>
      <c r="X31" s="10">
        <v>76.790000000000006</v>
      </c>
      <c r="Y31" s="10">
        <v>77.180000000000007</v>
      </c>
      <c r="Z31" s="10">
        <v>76.099999999999994</v>
      </c>
      <c r="AA31" s="10">
        <v>76.97</v>
      </c>
      <c r="AB31" s="95">
        <v>6752800</v>
      </c>
      <c r="AC31" s="10">
        <v>76.97</v>
      </c>
      <c r="AD31" s="2">
        <f t="shared" si="1"/>
        <v>1.0800000000000125</v>
      </c>
      <c r="AE31" s="138">
        <f t="shared" si="2"/>
        <v>2.6051843167904654E-3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42710</v>
      </c>
      <c r="X32" s="10">
        <v>76.91</v>
      </c>
      <c r="Y32" s="10">
        <v>77.08</v>
      </c>
      <c r="Z32" s="10">
        <v>76.05</v>
      </c>
      <c r="AA32" s="10">
        <v>76.77</v>
      </c>
      <c r="AB32" s="95">
        <v>7675100</v>
      </c>
      <c r="AC32" s="10">
        <v>76.77</v>
      </c>
      <c r="AD32" s="2">
        <f t="shared" si="1"/>
        <v>1.0300000000000011</v>
      </c>
      <c r="AE32" s="138">
        <f t="shared" si="2"/>
        <v>-2.7279812938426629E-3</v>
      </c>
    </row>
    <row r="33" spans="15:31" x14ac:dyDescent="0.25">
      <c r="W33" s="133">
        <v>42709</v>
      </c>
      <c r="X33" s="10">
        <v>78.010000000000005</v>
      </c>
      <c r="Y33" s="10">
        <v>78.08</v>
      </c>
      <c r="Z33" s="10">
        <v>76.8</v>
      </c>
      <c r="AA33" s="10">
        <v>76.98</v>
      </c>
      <c r="AB33" s="95">
        <v>7128800</v>
      </c>
      <c r="AC33" s="10">
        <v>76.98</v>
      </c>
      <c r="AD33" s="2">
        <f t="shared" si="1"/>
        <v>1.2800000000000011</v>
      </c>
      <c r="AE33" s="138">
        <f t="shared" si="2"/>
        <v>-1.2317167051578037E-2</v>
      </c>
    </row>
    <row r="34" spans="15:31" x14ac:dyDescent="0.25">
      <c r="W34" s="133">
        <v>42706</v>
      </c>
      <c r="X34" s="10">
        <v>77.239999999999995</v>
      </c>
      <c r="Y34" s="10">
        <v>78.400000000000006</v>
      </c>
      <c r="Z34" s="10">
        <v>76.83</v>
      </c>
      <c r="AA34" s="10">
        <v>77.94</v>
      </c>
      <c r="AB34" s="95">
        <v>7517300</v>
      </c>
      <c r="AC34" s="10">
        <v>77.94</v>
      </c>
      <c r="AD34" s="2">
        <f t="shared" si="1"/>
        <v>1.5700000000000074</v>
      </c>
      <c r="AE34" s="138">
        <f t="shared" si="2"/>
        <v>1.5420200462605838E-3</v>
      </c>
    </row>
    <row r="35" spans="15:31" x14ac:dyDescent="0.25">
      <c r="W35" s="133">
        <v>42705</v>
      </c>
      <c r="X35" s="10">
        <v>76.86</v>
      </c>
      <c r="Y35" s="10">
        <v>78.58</v>
      </c>
      <c r="Z35" s="10">
        <v>76.59</v>
      </c>
      <c r="AA35" s="10">
        <v>77.819999999999993</v>
      </c>
      <c r="AB35" s="95">
        <v>6643400</v>
      </c>
      <c r="AC35" s="10">
        <v>77.819999999999993</v>
      </c>
      <c r="AD35" s="2">
        <f t="shared" si="1"/>
        <v>1.9899999999999949</v>
      </c>
      <c r="AE35" s="138">
        <f t="shared" si="2"/>
        <v>7.5090626618332657E-3</v>
      </c>
    </row>
    <row r="36" spans="15:31" x14ac:dyDescent="0.25">
      <c r="W36" s="133">
        <v>42704</v>
      </c>
      <c r="X36" s="10">
        <v>77.73</v>
      </c>
      <c r="Y36" s="10">
        <v>78.040000000000006</v>
      </c>
      <c r="Z36" s="10">
        <v>77.06</v>
      </c>
      <c r="AA36" s="10">
        <v>77.239999999999995</v>
      </c>
      <c r="AB36" s="95">
        <v>5674000</v>
      </c>
      <c r="AC36" s="10">
        <v>77.239999999999995</v>
      </c>
      <c r="AD36" s="2">
        <f t="shared" si="1"/>
        <v>0.98000000000000398</v>
      </c>
      <c r="AE36" s="138">
        <f t="shared" si="2"/>
        <v>-1.4921566126769537E-2</v>
      </c>
    </row>
    <row r="37" spans="15:31" x14ac:dyDescent="0.25">
      <c r="W37" s="133">
        <v>42703</v>
      </c>
      <c r="X37" s="10">
        <v>78</v>
      </c>
      <c r="Y37" s="10">
        <v>78.69</v>
      </c>
      <c r="Z37" s="10">
        <v>77.75</v>
      </c>
      <c r="AA37" s="10">
        <v>78.41</v>
      </c>
      <c r="AB37" s="95">
        <v>4578000</v>
      </c>
      <c r="AC37" s="10">
        <v>78.41</v>
      </c>
      <c r="AD37" s="2">
        <f t="shared" si="1"/>
        <v>0.93999999999999773</v>
      </c>
      <c r="AE37" s="138">
        <f t="shared" si="2"/>
        <v>8.8780236747296737E-3</v>
      </c>
    </row>
    <row r="38" spans="15:31" x14ac:dyDescent="0.25">
      <c r="W38" s="133">
        <v>42702</v>
      </c>
      <c r="X38" s="10">
        <v>78.37</v>
      </c>
      <c r="Y38" s="10">
        <v>78.94</v>
      </c>
      <c r="Z38" s="10">
        <v>77.5</v>
      </c>
      <c r="AA38" s="10">
        <v>77.72</v>
      </c>
      <c r="AB38" s="95">
        <v>5400400</v>
      </c>
      <c r="AC38" s="10">
        <v>77.72</v>
      </c>
      <c r="AD38" s="2">
        <f t="shared" si="1"/>
        <v>1.4399999999999977</v>
      </c>
      <c r="AE38" s="138">
        <f t="shared" si="2"/>
        <v>-1.132171479455546E-2</v>
      </c>
    </row>
    <row r="39" spans="15:31" x14ac:dyDescent="0.25">
      <c r="W39" s="133">
        <v>42699</v>
      </c>
      <c r="X39" s="10">
        <v>78.849999999999994</v>
      </c>
      <c r="Y39" s="10">
        <v>79.33</v>
      </c>
      <c r="Z39" s="10">
        <v>78.42</v>
      </c>
      <c r="AA39" s="10">
        <v>78.61</v>
      </c>
      <c r="AB39" s="95">
        <v>2538900</v>
      </c>
      <c r="AC39" s="10">
        <v>78.61</v>
      </c>
      <c r="AD39" s="2">
        <f t="shared" si="1"/>
        <v>0.90999999999999659</v>
      </c>
      <c r="AE39" s="138">
        <f t="shared" si="2"/>
        <v>1.6564729867480921E-3</v>
      </c>
    </row>
    <row r="40" spans="15:31" ht="20.25" thickBot="1" x14ac:dyDescent="0.35">
      <c r="O40" s="632" t="s">
        <v>78</v>
      </c>
      <c r="P40" s="632"/>
      <c r="W40" s="133">
        <v>42697</v>
      </c>
      <c r="X40" s="10">
        <v>77.930000000000007</v>
      </c>
      <c r="Y40" s="10">
        <v>78.959999999999994</v>
      </c>
      <c r="Z40" s="10">
        <v>77.58</v>
      </c>
      <c r="AA40" s="10">
        <v>78.48</v>
      </c>
      <c r="AB40" s="95">
        <v>6768400</v>
      </c>
      <c r="AC40" s="10">
        <v>78.48</v>
      </c>
      <c r="AD40" s="2">
        <f t="shared" si="1"/>
        <v>1.3799999999999955</v>
      </c>
      <c r="AE40" s="138">
        <f t="shared" si="2"/>
        <v>7.8335687684603084E-3</v>
      </c>
    </row>
    <row r="41" spans="15:31" ht="15.75" thickTop="1" x14ac:dyDescent="0.25">
      <c r="O41" s="83">
        <v>1.1000000000000001</v>
      </c>
      <c r="P41" s="83">
        <f>O41*$Q$4</f>
        <v>70.510000000000005</v>
      </c>
      <c r="Q41" s="2"/>
      <c r="W41" s="133">
        <v>42696</v>
      </c>
      <c r="X41" s="10">
        <v>76.89</v>
      </c>
      <c r="Y41" s="10">
        <v>78.13</v>
      </c>
      <c r="Z41" s="10">
        <v>76.86</v>
      </c>
      <c r="AA41" s="10">
        <v>77.87</v>
      </c>
      <c r="AB41" s="95">
        <v>5796100</v>
      </c>
      <c r="AC41" s="10">
        <v>77.87</v>
      </c>
      <c r="AD41" s="2">
        <f t="shared" si="1"/>
        <v>1.269999999999996</v>
      </c>
      <c r="AE41" s="138">
        <f t="shared" si="2"/>
        <v>1.7775454188994955E-2</v>
      </c>
    </row>
    <row r="42" spans="15:31" ht="20.25" thickBot="1" x14ac:dyDescent="0.35">
      <c r="O42" s="83">
        <v>1.0900000000000001</v>
      </c>
      <c r="P42" s="83">
        <f t="shared" ref="P42:P61" si="6">O42*$Q$4</f>
        <v>69.869</v>
      </c>
      <c r="Q42" s="2"/>
      <c r="T42" s="91" t="s">
        <v>113</v>
      </c>
      <c r="W42" s="133">
        <v>42695</v>
      </c>
      <c r="X42" s="10">
        <v>76.12</v>
      </c>
      <c r="Y42" s="10">
        <v>76.81</v>
      </c>
      <c r="Z42" s="10">
        <v>76</v>
      </c>
      <c r="AA42" s="10">
        <v>76.510000000000005</v>
      </c>
      <c r="AB42" s="95">
        <v>4455300</v>
      </c>
      <c r="AC42" s="10">
        <v>76.510000000000005</v>
      </c>
      <c r="AD42" s="2">
        <f t="shared" si="1"/>
        <v>0.81000000000000227</v>
      </c>
      <c r="AE42" s="138">
        <f t="shared" si="2"/>
        <v>4.200026250164246E-3</v>
      </c>
    </row>
    <row r="43" spans="15:31" ht="15.75" thickTop="1" x14ac:dyDescent="0.25">
      <c r="O43" s="83">
        <v>1.08</v>
      </c>
      <c r="P43" s="83">
        <f t="shared" si="6"/>
        <v>69.227999999999994</v>
      </c>
      <c r="Q43" s="2"/>
      <c r="T43" s="128" t="s">
        <v>98</v>
      </c>
      <c r="U43" s="129">
        <v>65.39</v>
      </c>
      <c r="W43" s="133">
        <v>42692</v>
      </c>
      <c r="X43" s="10">
        <v>75.900000000000006</v>
      </c>
      <c r="Y43" s="10">
        <v>76.39</v>
      </c>
      <c r="Z43" s="10">
        <v>75.69</v>
      </c>
      <c r="AA43" s="10">
        <v>76.19</v>
      </c>
      <c r="AB43" s="95">
        <v>5719700</v>
      </c>
      <c r="AC43" s="10">
        <v>76.19</v>
      </c>
      <c r="AD43" s="2">
        <f t="shared" si="1"/>
        <v>0.70000000000000284</v>
      </c>
      <c r="AE43" s="138">
        <f t="shared" si="2"/>
        <v>7.8812557467489164E-4</v>
      </c>
    </row>
    <row r="44" spans="15:31" x14ac:dyDescent="0.25">
      <c r="O44" s="83">
        <v>1.07</v>
      </c>
      <c r="P44" s="83">
        <f t="shared" si="6"/>
        <v>68.587000000000003</v>
      </c>
      <c r="Q44" s="2"/>
      <c r="T44" s="93" t="s">
        <v>99</v>
      </c>
      <c r="U44" s="130">
        <v>65.39</v>
      </c>
      <c r="W44" s="133">
        <v>42691</v>
      </c>
      <c r="X44" s="10">
        <v>76.180000000000007</v>
      </c>
      <c r="Y44" s="10">
        <v>76.430000000000007</v>
      </c>
      <c r="Z44" s="10">
        <v>75.400000000000006</v>
      </c>
      <c r="AA44" s="10">
        <v>76.13</v>
      </c>
      <c r="AB44" s="95">
        <v>8040700</v>
      </c>
      <c r="AC44" s="10">
        <v>76.13</v>
      </c>
      <c r="AD44" s="2">
        <f t="shared" si="1"/>
        <v>1.0300000000000011</v>
      </c>
      <c r="AE44" s="138">
        <f t="shared" si="2"/>
        <v>1.3152702880441236E-3</v>
      </c>
    </row>
    <row r="45" spans="15:31" x14ac:dyDescent="0.25">
      <c r="O45" s="83">
        <v>1.06</v>
      </c>
      <c r="P45" s="83">
        <f t="shared" si="6"/>
        <v>67.945999999999998</v>
      </c>
      <c r="Q45" s="2"/>
      <c r="T45" s="93" t="s">
        <v>100</v>
      </c>
      <c r="U45" s="130" t="s">
        <v>129</v>
      </c>
      <c r="W45" s="133">
        <v>42690</v>
      </c>
      <c r="X45" s="10">
        <v>77.5</v>
      </c>
      <c r="Y45" s="10">
        <v>78.3</v>
      </c>
      <c r="Z45" s="10">
        <v>75.56</v>
      </c>
      <c r="AA45" s="10">
        <v>76.03</v>
      </c>
      <c r="AB45" s="95">
        <v>21918700</v>
      </c>
      <c r="AC45" s="10">
        <v>76.03</v>
      </c>
      <c r="AD45" s="2">
        <f t="shared" si="1"/>
        <v>2.7399999999999949</v>
      </c>
      <c r="AE45" s="138">
        <f t="shared" si="2"/>
        <v>6.4249720044792902E-2</v>
      </c>
    </row>
    <row r="46" spans="15:31" x14ac:dyDescent="0.25">
      <c r="O46" s="83">
        <v>1.05</v>
      </c>
      <c r="P46" s="83">
        <f t="shared" si="6"/>
        <v>67.304999999999993</v>
      </c>
      <c r="Q46" s="2"/>
      <c r="T46" s="93" t="s">
        <v>101</v>
      </c>
      <c r="U46" s="130" t="s">
        <v>129</v>
      </c>
      <c r="W46" s="133">
        <v>42689</v>
      </c>
      <c r="X46" s="10">
        <v>72.31</v>
      </c>
      <c r="Y46" s="10">
        <v>72.37</v>
      </c>
      <c r="Z46" s="10">
        <v>71.17</v>
      </c>
      <c r="AA46" s="10">
        <v>71.44</v>
      </c>
      <c r="AB46" s="95">
        <v>7708300</v>
      </c>
      <c r="AC46" s="10">
        <v>71.44</v>
      </c>
      <c r="AD46" s="2">
        <f t="shared" si="1"/>
        <v>1.2000000000000028</v>
      </c>
      <c r="AE46" s="138">
        <f t="shared" si="2"/>
        <v>-1.0115006235277835E-2</v>
      </c>
    </row>
    <row r="47" spans="15:31" x14ac:dyDescent="0.25">
      <c r="O47" s="83">
        <v>1.04</v>
      </c>
      <c r="P47" s="83">
        <f t="shared" si="6"/>
        <v>66.664000000000001</v>
      </c>
      <c r="Q47" s="2"/>
      <c r="T47" s="93" t="s">
        <v>102</v>
      </c>
      <c r="U47" s="130">
        <v>74.33</v>
      </c>
      <c r="W47" s="133">
        <v>42688</v>
      </c>
      <c r="X47" s="10">
        <v>71.069999999999993</v>
      </c>
      <c r="Y47" s="10">
        <v>72.88</v>
      </c>
      <c r="Z47" s="10">
        <v>70.849999999999994</v>
      </c>
      <c r="AA47" s="10">
        <v>72.17</v>
      </c>
      <c r="AB47" s="95">
        <v>7455400</v>
      </c>
      <c r="AC47" s="10">
        <v>72.17</v>
      </c>
      <c r="AD47" s="2">
        <f t="shared" si="1"/>
        <v>2.0300000000000011</v>
      </c>
      <c r="AE47" s="138" t="e">
        <f t="shared" si="2"/>
        <v>#DIV/0!</v>
      </c>
    </row>
    <row r="48" spans="15:31" x14ac:dyDescent="0.25">
      <c r="O48" s="83">
        <v>1.03</v>
      </c>
      <c r="P48" s="83">
        <f t="shared" si="6"/>
        <v>66.022999999999996</v>
      </c>
      <c r="Q48" s="2"/>
      <c r="T48" s="93" t="s">
        <v>103</v>
      </c>
      <c r="U48" s="130">
        <v>0.58471499999999998</v>
      </c>
      <c r="W48" s="133">
        <v>42688</v>
      </c>
      <c r="X48" s="10" t="s">
        <v>616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15:31" x14ac:dyDescent="0.25">
      <c r="O49" s="83">
        <v>1.02</v>
      </c>
      <c r="P49" s="83">
        <f t="shared" si="6"/>
        <v>65.381999999999991</v>
      </c>
      <c r="Q49" s="2"/>
      <c r="T49" s="93" t="s">
        <v>104</v>
      </c>
      <c r="U49" s="130" t="s">
        <v>611</v>
      </c>
      <c r="W49" s="133">
        <v>42685</v>
      </c>
      <c r="X49" s="10">
        <v>70.430000000000007</v>
      </c>
      <c r="Y49" s="10">
        <v>71.540000000000006</v>
      </c>
      <c r="Z49" s="10">
        <v>70.2</v>
      </c>
      <c r="AA49" s="10">
        <v>71.349999999999994</v>
      </c>
      <c r="AB49" s="95">
        <v>5330600</v>
      </c>
      <c r="AC49" s="10">
        <v>70.75</v>
      </c>
      <c r="AD49" s="2">
        <f t="shared" si="1"/>
        <v>1.3400000000000034</v>
      </c>
      <c r="AE49" s="138">
        <f t="shared" si="2"/>
        <v>1.1436740528949274E-2</v>
      </c>
    </row>
    <row r="50" spans="15:31" x14ac:dyDescent="0.25">
      <c r="O50" s="83">
        <v>1.01</v>
      </c>
      <c r="P50" s="83">
        <f t="shared" si="6"/>
        <v>64.741</v>
      </c>
      <c r="Q50" s="2"/>
      <c r="T50" s="93"/>
      <c r="U50" s="130"/>
      <c r="W50" s="133">
        <v>42684</v>
      </c>
      <c r="X50" s="10">
        <v>69.67</v>
      </c>
      <c r="Y50" s="10">
        <v>72.2</v>
      </c>
      <c r="Z50" s="10">
        <v>69.39</v>
      </c>
      <c r="AA50" s="10">
        <v>70.540000000000006</v>
      </c>
      <c r="AB50" s="95">
        <v>9639100</v>
      </c>
      <c r="AC50" s="10">
        <v>69.95</v>
      </c>
      <c r="AD50" s="2">
        <f t="shared" si="1"/>
        <v>2.8100000000000023</v>
      </c>
      <c r="AE50" s="138">
        <f t="shared" si="2"/>
        <v>2.5208852410962823E-2</v>
      </c>
    </row>
    <row r="51" spans="15:31" x14ac:dyDescent="0.25">
      <c r="O51" s="83">
        <v>1</v>
      </c>
      <c r="P51" s="83">
        <f t="shared" si="6"/>
        <v>64.099999999999994</v>
      </c>
      <c r="Q51" s="2"/>
      <c r="T51" s="93" t="s">
        <v>105</v>
      </c>
      <c r="U51" s="130" t="s">
        <v>612</v>
      </c>
      <c r="W51" s="133">
        <v>42683</v>
      </c>
      <c r="X51" s="10">
        <v>66.290000000000006</v>
      </c>
      <c r="Y51" s="10">
        <v>69.25</v>
      </c>
      <c r="Z51" s="10">
        <v>66.010000000000005</v>
      </c>
      <c r="AA51" s="10">
        <v>68.81</v>
      </c>
      <c r="AB51" s="95">
        <v>9570700</v>
      </c>
      <c r="AC51" s="10">
        <v>68.23</v>
      </c>
      <c r="AD51" s="2">
        <f t="shared" si="1"/>
        <v>3.2399999999999949</v>
      </c>
      <c r="AE51" s="138">
        <f t="shared" si="2"/>
        <v>2.616934877425181E-2</v>
      </c>
    </row>
    <row r="52" spans="15:31" x14ac:dyDescent="0.25">
      <c r="O52" s="83">
        <v>0.99</v>
      </c>
      <c r="P52" s="83">
        <f t="shared" si="6"/>
        <v>63.458999999999996</v>
      </c>
      <c r="Q52" s="2"/>
      <c r="T52" s="93" t="s">
        <v>106</v>
      </c>
      <c r="U52" s="130" t="s">
        <v>613</v>
      </c>
      <c r="W52" s="133">
        <v>42682</v>
      </c>
      <c r="X52" s="10">
        <v>67.36</v>
      </c>
      <c r="Y52" s="10">
        <v>67.739999999999995</v>
      </c>
      <c r="Z52" s="10">
        <v>66.650000000000006</v>
      </c>
      <c r="AA52" s="10">
        <v>67.05</v>
      </c>
      <c r="AB52" s="95">
        <v>5097500</v>
      </c>
      <c r="AC52" s="10">
        <v>66.489999999999995</v>
      </c>
      <c r="AD52" s="2">
        <f t="shared" si="1"/>
        <v>1.0899999999999892</v>
      </c>
      <c r="AE52" s="138">
        <f t="shared" si="2"/>
        <v>-7.0191158900836381E-3</v>
      </c>
    </row>
    <row r="53" spans="15:31" x14ac:dyDescent="0.25">
      <c r="O53" s="83">
        <v>0.98</v>
      </c>
      <c r="P53" s="83">
        <f t="shared" si="6"/>
        <v>62.817999999999991</v>
      </c>
      <c r="Q53" s="2"/>
      <c r="T53" s="93" t="s">
        <v>107</v>
      </c>
      <c r="U53" s="131">
        <v>12983487</v>
      </c>
      <c r="W53" s="133">
        <v>42681</v>
      </c>
      <c r="X53" s="10">
        <v>67.22</v>
      </c>
      <c r="Y53" s="10">
        <v>67.569999999999993</v>
      </c>
      <c r="Z53" s="10">
        <v>67.03</v>
      </c>
      <c r="AA53" s="10">
        <v>67.53</v>
      </c>
      <c r="AB53" s="95">
        <v>4777700</v>
      </c>
      <c r="AC53" s="10">
        <v>66.959999999999994</v>
      </c>
      <c r="AD53" s="2">
        <f t="shared" si="1"/>
        <v>0.53999999999999204</v>
      </c>
      <c r="AE53" s="138">
        <f t="shared" si="2"/>
        <v>1.5006821282401051E-2</v>
      </c>
    </row>
    <row r="54" spans="15:31" x14ac:dyDescent="0.25">
      <c r="O54" s="83">
        <v>0.97</v>
      </c>
      <c r="P54" s="83">
        <f t="shared" si="6"/>
        <v>62.176999999999992</v>
      </c>
      <c r="T54" s="93" t="s">
        <v>110</v>
      </c>
      <c r="U54" s="131">
        <v>5641000</v>
      </c>
      <c r="W54" s="133">
        <v>42678</v>
      </c>
      <c r="X54" s="10">
        <v>66.72</v>
      </c>
      <c r="Y54" s="10">
        <v>67.31</v>
      </c>
      <c r="Z54" s="10">
        <v>66.52</v>
      </c>
      <c r="AA54" s="10">
        <v>66.53</v>
      </c>
      <c r="AB54" s="95">
        <v>3937300</v>
      </c>
      <c r="AC54" s="10">
        <v>65.97</v>
      </c>
      <c r="AD54" s="2">
        <f t="shared" si="1"/>
        <v>0.79000000000000625</v>
      </c>
      <c r="AE54" s="138">
        <f t="shared" si="2"/>
        <v>-2.1176826501285717E-3</v>
      </c>
    </row>
    <row r="55" spans="15:31" x14ac:dyDescent="0.25">
      <c r="O55" s="83">
        <v>0.96</v>
      </c>
      <c r="P55" s="83">
        <f t="shared" si="6"/>
        <v>61.535999999999994</v>
      </c>
      <c r="T55" s="93" t="s">
        <v>108</v>
      </c>
      <c r="U55" s="130" t="s">
        <v>614</v>
      </c>
      <c r="W55" s="133">
        <v>42677</v>
      </c>
      <c r="X55" s="10">
        <v>68.540000000000006</v>
      </c>
      <c r="Y55" s="10">
        <v>68.59</v>
      </c>
      <c r="Z55" s="10">
        <v>66.55</v>
      </c>
      <c r="AA55" s="10">
        <v>66.67</v>
      </c>
      <c r="AB55" s="95">
        <v>5068400</v>
      </c>
      <c r="AC55" s="10">
        <v>66.11</v>
      </c>
      <c r="AD55" s="2">
        <f t="shared" si="1"/>
        <v>2.0400000000000063</v>
      </c>
      <c r="AE55" s="138">
        <f t="shared" si="2"/>
        <v>-2.3341704830846521E-2</v>
      </c>
    </row>
    <row r="56" spans="15:31" x14ac:dyDescent="0.25">
      <c r="O56" s="83">
        <v>0.95</v>
      </c>
      <c r="P56" s="83">
        <f t="shared" si="6"/>
        <v>60.894999999999989</v>
      </c>
      <c r="T56" s="93" t="s">
        <v>111</v>
      </c>
      <c r="U56" s="130">
        <v>11.41</v>
      </c>
      <c r="W56" s="133">
        <v>42676</v>
      </c>
      <c r="X56" s="10">
        <v>67.72</v>
      </c>
      <c r="Y56" s="10">
        <v>68.489999999999995</v>
      </c>
      <c r="Z56" s="10">
        <v>67.349999999999994</v>
      </c>
      <c r="AA56" s="10">
        <v>68.260000000000005</v>
      </c>
      <c r="AB56" s="95">
        <v>3970600</v>
      </c>
      <c r="AC56" s="10">
        <v>67.69</v>
      </c>
      <c r="AD56" s="2">
        <f t="shared" si="1"/>
        <v>1.1400000000000006</v>
      </c>
      <c r="AE56" s="138">
        <f t="shared" si="2"/>
        <v>7.1417943758369518E-3</v>
      </c>
    </row>
    <row r="57" spans="15:31" x14ac:dyDescent="0.25">
      <c r="O57" s="83">
        <v>0.94</v>
      </c>
      <c r="P57" s="83">
        <f t="shared" si="6"/>
        <v>60.253999999999991</v>
      </c>
      <c r="T57" s="93" t="s">
        <v>112</v>
      </c>
      <c r="U57" s="130">
        <v>5.62</v>
      </c>
      <c r="W57" s="133">
        <v>42675</v>
      </c>
      <c r="X57" s="10">
        <v>68.66</v>
      </c>
      <c r="Y57" s="10">
        <v>68.83</v>
      </c>
      <c r="Z57" s="10">
        <v>67.400000000000006</v>
      </c>
      <c r="AA57" s="10">
        <v>67.78</v>
      </c>
      <c r="AB57" s="95">
        <v>4019500</v>
      </c>
      <c r="AC57" s="10">
        <v>67.209999999999994</v>
      </c>
      <c r="AD57" s="2">
        <f t="shared" si="1"/>
        <v>1.4299999999999926</v>
      </c>
      <c r="AE57" s="138">
        <f t="shared" si="2"/>
        <v>-1.3793103448276001E-2</v>
      </c>
    </row>
    <row r="58" spans="15:31" x14ac:dyDescent="0.25">
      <c r="O58" s="83">
        <v>0.93</v>
      </c>
      <c r="P58" s="83">
        <f t="shared" si="6"/>
        <v>59.613</v>
      </c>
      <c r="T58" s="93" t="s">
        <v>109</v>
      </c>
      <c r="U58" s="130" t="s">
        <v>615</v>
      </c>
      <c r="W58" s="133">
        <v>42674</v>
      </c>
      <c r="X58" s="10">
        <v>68.78</v>
      </c>
      <c r="Y58" s="10">
        <v>69.25</v>
      </c>
      <c r="Z58" s="10">
        <v>68.510000000000005</v>
      </c>
      <c r="AA58" s="10">
        <v>68.73</v>
      </c>
      <c r="AB58" s="95">
        <v>3349500</v>
      </c>
      <c r="AC58" s="10">
        <v>68.150000000000006</v>
      </c>
      <c r="AD58" s="2">
        <f t="shared" si="1"/>
        <v>0.73999999999999488</v>
      </c>
      <c r="AE58" s="138">
        <f t="shared" si="2"/>
        <v>-1.465201465201349E-3</v>
      </c>
    </row>
    <row r="59" spans="15:31" x14ac:dyDescent="0.25">
      <c r="O59" s="83">
        <v>0.92</v>
      </c>
      <c r="P59" s="83">
        <f t="shared" si="6"/>
        <v>58.971999999999994</v>
      </c>
      <c r="W59" s="133">
        <v>42671</v>
      </c>
      <c r="X59" s="10">
        <v>67.72</v>
      </c>
      <c r="Y59" s="10">
        <v>69.25</v>
      </c>
      <c r="Z59" s="10">
        <v>67.72</v>
      </c>
      <c r="AA59" s="10">
        <v>68.83</v>
      </c>
      <c r="AB59" s="95">
        <v>4114500</v>
      </c>
      <c r="AC59" s="10">
        <v>68.25</v>
      </c>
      <c r="AD59" s="2">
        <f t="shared" si="1"/>
        <v>1.5300000000000011</v>
      </c>
      <c r="AE59" s="138">
        <f t="shared" si="2"/>
        <v>1.7897091722595126E-2</v>
      </c>
    </row>
    <row r="60" spans="15:31" x14ac:dyDescent="0.25">
      <c r="O60" s="83">
        <v>0.91</v>
      </c>
      <c r="P60" s="83">
        <f t="shared" si="6"/>
        <v>58.330999999999996</v>
      </c>
      <c r="W60" s="133">
        <v>42670</v>
      </c>
      <c r="X60" s="10">
        <v>68.59</v>
      </c>
      <c r="Y60" s="10">
        <v>68.78</v>
      </c>
      <c r="Z60" s="10">
        <v>67.489999999999995</v>
      </c>
      <c r="AA60" s="10">
        <v>67.62</v>
      </c>
      <c r="AB60" s="95">
        <v>3731200</v>
      </c>
      <c r="AC60" s="10">
        <v>67.05</v>
      </c>
      <c r="AD60" s="2">
        <f t="shared" si="1"/>
        <v>1.2900000000000063</v>
      </c>
      <c r="AE60" s="138">
        <f t="shared" si="2"/>
        <v>-1.4115571239523672E-2</v>
      </c>
    </row>
    <row r="61" spans="15:31" x14ac:dyDescent="0.25">
      <c r="O61" s="83">
        <v>0.9</v>
      </c>
      <c r="P61" s="83">
        <f t="shared" si="6"/>
        <v>57.69</v>
      </c>
      <c r="W61" s="133">
        <v>42669</v>
      </c>
      <c r="X61" s="10">
        <v>67.88</v>
      </c>
      <c r="Y61" s="10">
        <v>68.959999999999994</v>
      </c>
      <c r="Z61" s="10">
        <v>67.790000000000006</v>
      </c>
      <c r="AA61" s="10">
        <v>68.59</v>
      </c>
      <c r="AB61" s="95">
        <v>2846500</v>
      </c>
      <c r="AC61" s="10">
        <v>68.010000000000005</v>
      </c>
      <c r="AD61" s="2">
        <f t="shared" si="1"/>
        <v>1.1699999999999875</v>
      </c>
      <c r="AE61" s="138">
        <f t="shared" si="2"/>
        <v>9.349955476402716E-3</v>
      </c>
    </row>
    <row r="62" spans="15:31" x14ac:dyDescent="0.25">
      <c r="W62" s="133">
        <v>42668</v>
      </c>
      <c r="X62" s="10">
        <v>68</v>
      </c>
      <c r="Y62" s="10">
        <v>68.33</v>
      </c>
      <c r="Z62" s="10">
        <v>67.8</v>
      </c>
      <c r="AA62" s="10">
        <v>67.95</v>
      </c>
      <c r="AB62" s="95">
        <v>2553100</v>
      </c>
      <c r="AC62" s="10">
        <v>67.38</v>
      </c>
      <c r="AD62" s="2">
        <f t="shared" si="1"/>
        <v>0.53000000000000114</v>
      </c>
      <c r="AE62" s="138">
        <f t="shared" si="2"/>
        <v>-4.5797015807357289E-3</v>
      </c>
    </row>
    <row r="63" spans="15:31" x14ac:dyDescent="0.25">
      <c r="W63" s="133">
        <v>42667</v>
      </c>
      <c r="X63" s="10">
        <v>68.33</v>
      </c>
      <c r="Y63" s="10">
        <v>68.7</v>
      </c>
      <c r="Z63" s="10">
        <v>68</v>
      </c>
      <c r="AA63" s="10">
        <v>68.260000000000005</v>
      </c>
      <c r="AB63" s="95">
        <v>2545800</v>
      </c>
      <c r="AC63" s="10">
        <v>67.69</v>
      </c>
      <c r="AD63" s="2">
        <f t="shared" si="1"/>
        <v>0.70000000000000284</v>
      </c>
      <c r="AE63" s="138">
        <f t="shared" si="2"/>
        <v>4.4339343777721751E-4</v>
      </c>
    </row>
    <row r="64" spans="15:31" x14ac:dyDescent="0.25">
      <c r="W64" s="133">
        <v>42664</v>
      </c>
      <c r="X64" s="10">
        <v>67.430000000000007</v>
      </c>
      <c r="Y64" s="10">
        <v>68.45</v>
      </c>
      <c r="Z64" s="10">
        <v>67.25</v>
      </c>
      <c r="AA64" s="10">
        <v>68.23</v>
      </c>
      <c r="AB64" s="95">
        <v>3121800</v>
      </c>
      <c r="AC64" s="10">
        <v>67.66</v>
      </c>
      <c r="AD64" s="2">
        <f t="shared" si="1"/>
        <v>1.2000000000000028</v>
      </c>
      <c r="AE64" s="138">
        <f t="shared" si="2"/>
        <v>7.7450104259755292E-3</v>
      </c>
    </row>
    <row r="65" spans="23:31" x14ac:dyDescent="0.25">
      <c r="W65" s="133">
        <v>42663</v>
      </c>
      <c r="X65" s="10">
        <v>67.62</v>
      </c>
      <c r="Y65" s="10">
        <v>67.89</v>
      </c>
      <c r="Z65" s="10">
        <v>67.45</v>
      </c>
      <c r="AA65" s="10">
        <v>67.709999999999994</v>
      </c>
      <c r="AB65" s="95">
        <v>3961200</v>
      </c>
      <c r="AC65" s="10">
        <v>67.14</v>
      </c>
      <c r="AD65" s="2">
        <f t="shared" si="1"/>
        <v>0.43999999999999773</v>
      </c>
      <c r="AE65" s="138">
        <f t="shared" si="2"/>
        <v>2.6881720430107503E-3</v>
      </c>
    </row>
    <row r="66" spans="23:31" x14ac:dyDescent="0.25">
      <c r="W66" s="133">
        <v>42662</v>
      </c>
      <c r="X66" s="10">
        <v>67.63</v>
      </c>
      <c r="Y66" s="10">
        <v>67.7</v>
      </c>
      <c r="Z66" s="10">
        <v>67.12</v>
      </c>
      <c r="AA66" s="10">
        <v>67.53</v>
      </c>
      <c r="AB66" s="95">
        <v>2619600</v>
      </c>
      <c r="AC66" s="10">
        <v>66.959999999999994</v>
      </c>
      <c r="AD66" s="2">
        <f t="shared" si="1"/>
        <v>0.57999999999999829</v>
      </c>
      <c r="AE66" s="138">
        <f t="shared" si="2"/>
        <v>2.5452912112589043E-3</v>
      </c>
    </row>
    <row r="67" spans="23:31" x14ac:dyDescent="0.25">
      <c r="W67" s="133">
        <v>42661</v>
      </c>
      <c r="X67" s="10">
        <v>67.55</v>
      </c>
      <c r="Y67" s="10">
        <v>67.72</v>
      </c>
      <c r="Z67" s="10">
        <v>67.010000000000005</v>
      </c>
      <c r="AA67" s="10">
        <v>67.36</v>
      </c>
      <c r="AB67" s="95">
        <v>3011600</v>
      </c>
      <c r="AC67" s="10">
        <v>66.790000000000006</v>
      </c>
      <c r="AD67" s="2">
        <f>Y67-Z67</f>
        <v>0.70999999999999375</v>
      </c>
      <c r="AE67" s="138" t="e">
        <f>AC67/#REF!-1</f>
        <v>#REF!</v>
      </c>
    </row>
    <row r="68" spans="23:31" x14ac:dyDescent="0.25">
      <c r="W68" s="133">
        <v>42660</v>
      </c>
      <c r="X68" s="10">
        <v>67.98</v>
      </c>
      <c r="Y68" s="10">
        <v>68</v>
      </c>
      <c r="Z68" s="10">
        <v>67.09</v>
      </c>
      <c r="AA68" s="10">
        <v>67.239999999999995</v>
      </c>
      <c r="AB68" s="95">
        <v>4059500</v>
      </c>
      <c r="AC68" s="10">
        <v>66.67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42755</v>
      </c>
      <c r="X2" s="10">
        <v>46.29</v>
      </c>
      <c r="Y2" s="10">
        <v>46.72</v>
      </c>
      <c r="Z2" s="10">
        <v>45.88</v>
      </c>
      <c r="AA2" s="10">
        <v>46.08</v>
      </c>
      <c r="AB2" s="95">
        <v>3226700</v>
      </c>
      <c r="AC2" s="10">
        <v>46.08</v>
      </c>
      <c r="AD2" s="2">
        <f>Y2-Z2</f>
        <v>0.83999999999999631</v>
      </c>
      <c r="AE2" s="138">
        <f>AC2/AC3-1</f>
        <v>2.3928649118991618E-3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46.08</v>
      </c>
      <c r="T3" s="1">
        <v>42312</v>
      </c>
      <c r="U3" t="s">
        <v>149</v>
      </c>
      <c r="W3" s="133">
        <v>42754</v>
      </c>
      <c r="X3" s="10">
        <v>47.59</v>
      </c>
      <c r="Y3" s="10">
        <v>47.65</v>
      </c>
      <c r="Z3" s="10">
        <v>45.82</v>
      </c>
      <c r="AA3" s="10">
        <v>45.97</v>
      </c>
      <c r="AB3" s="95">
        <v>4074900</v>
      </c>
      <c r="AC3" s="10">
        <v>45.97</v>
      </c>
      <c r="AD3" s="2">
        <f t="shared" ref="AD3:AD66" si="0">Y3-Z3</f>
        <v>1.8299999999999983</v>
      </c>
      <c r="AE3" s="138">
        <f t="shared" ref="AE3:AE66" si="1">AC3/AC4-1</f>
        <v>-3.3228180862250212E-2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46.08</v>
      </c>
      <c r="R4" s="505">
        <v>2.3999999999999998E-3</v>
      </c>
      <c r="W4" s="133">
        <v>42753</v>
      </c>
      <c r="X4" s="10">
        <v>47.71</v>
      </c>
      <c r="Y4" s="10">
        <v>47.75</v>
      </c>
      <c r="Z4" s="10">
        <v>47.05</v>
      </c>
      <c r="AA4" s="10">
        <v>47.55</v>
      </c>
      <c r="AB4" s="95">
        <v>2855100</v>
      </c>
      <c r="AC4" s="10">
        <v>47.55</v>
      </c>
      <c r="AD4" s="2">
        <f t="shared" si="0"/>
        <v>0.70000000000000284</v>
      </c>
      <c r="AE4" s="138">
        <f t="shared" si="1"/>
        <v>-3.3535946342486689E-3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46.75</v>
      </c>
      <c r="Y5" s="10">
        <v>47.72</v>
      </c>
      <c r="Z5" s="10">
        <v>46.6</v>
      </c>
      <c r="AA5" s="10">
        <v>47.71</v>
      </c>
      <c r="AB5" s="95">
        <v>3270200</v>
      </c>
      <c r="AC5" s="10">
        <v>47.71</v>
      </c>
      <c r="AD5" s="2">
        <f t="shared" si="0"/>
        <v>1.1199999999999974</v>
      </c>
      <c r="AE5" s="138">
        <f t="shared" si="1"/>
        <v>1.5106382978723465E-2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47.02</v>
      </c>
      <c r="Y6" s="10">
        <v>47.4</v>
      </c>
      <c r="Z6" s="10">
        <v>46.74</v>
      </c>
      <c r="AA6" s="10">
        <v>47</v>
      </c>
      <c r="AB6" s="95">
        <v>3649300</v>
      </c>
      <c r="AC6" s="10">
        <v>47</v>
      </c>
      <c r="AD6" s="2">
        <f t="shared" si="0"/>
        <v>0.65999999999999659</v>
      </c>
      <c r="AE6" s="138">
        <f t="shared" si="1"/>
        <v>-2.5466893039048921E-3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42747</v>
      </c>
      <c r="X7" s="10">
        <v>46.65</v>
      </c>
      <c r="Y7" s="10">
        <v>47.32</v>
      </c>
      <c r="Z7" s="10">
        <v>46.55</v>
      </c>
      <c r="AA7" s="10">
        <v>47.12</v>
      </c>
      <c r="AB7" s="95">
        <v>3148500</v>
      </c>
      <c r="AC7" s="10">
        <v>47.12</v>
      </c>
      <c r="AD7" s="2">
        <f t="shared" si="0"/>
        <v>0.77000000000000313</v>
      </c>
      <c r="AE7" s="138">
        <f t="shared" si="1"/>
        <v>5.1194539249146409E-3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46.85</v>
      </c>
      <c r="Y8" s="10">
        <v>47.02</v>
      </c>
      <c r="Z8" s="10">
        <v>46.61</v>
      </c>
      <c r="AA8" s="10">
        <v>46.88</v>
      </c>
      <c r="AB8" s="95">
        <v>4391900</v>
      </c>
      <c r="AC8" s="10">
        <v>46.88</v>
      </c>
      <c r="AD8" s="2">
        <f t="shared" si="0"/>
        <v>0.41000000000000369</v>
      </c>
      <c r="AE8" s="138">
        <f t="shared" si="1"/>
        <v>-1.9161166702149623E-3</v>
      </c>
    </row>
    <row r="9" spans="1:41" x14ac:dyDescent="0.25">
      <c r="O9" s="11" t="s">
        <v>215</v>
      </c>
      <c r="Q9" s="138">
        <f>IF(Q2=0, 0, Q8/Q6)</f>
        <v>0</v>
      </c>
      <c r="W9" s="133">
        <v>42745</v>
      </c>
      <c r="X9" s="10">
        <v>47.09</v>
      </c>
      <c r="Y9" s="10">
        <v>47.2</v>
      </c>
      <c r="Z9" s="10">
        <v>46.73</v>
      </c>
      <c r="AA9" s="10">
        <v>46.97</v>
      </c>
      <c r="AB9" s="95">
        <v>4216400</v>
      </c>
      <c r="AC9" s="10">
        <v>46.97</v>
      </c>
      <c r="AD9" s="2">
        <f t="shared" si="0"/>
        <v>0.47000000000000597</v>
      </c>
      <c r="AE9" s="138">
        <f t="shared" si="1"/>
        <v>6.3911376224967675E-4</v>
      </c>
    </row>
    <row r="10" spans="1:41" x14ac:dyDescent="0.25">
      <c r="O10" s="11" t="s">
        <v>214</v>
      </c>
      <c r="P10" s="34"/>
      <c r="Q10" s="2">
        <f>M36</f>
        <v>75.019999999999982</v>
      </c>
      <c r="W10" s="133">
        <v>42744</v>
      </c>
      <c r="X10" s="10">
        <v>46.67</v>
      </c>
      <c r="Y10" s="10">
        <v>47.13</v>
      </c>
      <c r="Z10" s="10">
        <v>46.53</v>
      </c>
      <c r="AA10" s="10">
        <v>46.94</v>
      </c>
      <c r="AB10" s="95">
        <v>3543600</v>
      </c>
      <c r="AC10" s="10">
        <v>46.94</v>
      </c>
      <c r="AD10" s="2">
        <f t="shared" si="0"/>
        <v>0.60000000000000142</v>
      </c>
      <c r="AE10" s="138">
        <f t="shared" si="1"/>
        <v>1.7072129748185727E-3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42741</v>
      </c>
      <c r="X11" s="10">
        <v>46.64</v>
      </c>
      <c r="Y11" s="10">
        <v>47.03</v>
      </c>
      <c r="Z11" s="10">
        <v>46.19</v>
      </c>
      <c r="AA11" s="10">
        <v>46.86</v>
      </c>
      <c r="AB11" s="95">
        <v>3605100</v>
      </c>
      <c r="AC11" s="10">
        <v>46.86</v>
      </c>
      <c r="AD11" s="2">
        <f t="shared" si="0"/>
        <v>0.84000000000000341</v>
      </c>
      <c r="AE11" s="138">
        <f t="shared" si="1"/>
        <v>3.8560411311054921E-3</v>
      </c>
    </row>
    <row r="12" spans="1:41" x14ac:dyDescent="0.25">
      <c r="W12" s="133">
        <v>42740</v>
      </c>
      <c r="X12" s="10">
        <v>46.25</v>
      </c>
      <c r="Y12" s="10">
        <v>46.76</v>
      </c>
      <c r="Z12" s="10">
        <v>46.11</v>
      </c>
      <c r="AA12" s="10">
        <v>46.68</v>
      </c>
      <c r="AB12" s="95">
        <v>3151100</v>
      </c>
      <c r="AC12" s="10">
        <v>46.68</v>
      </c>
      <c r="AD12" s="2">
        <f t="shared" si="0"/>
        <v>0.64999999999999858</v>
      </c>
      <c r="AE12" s="138">
        <f t="shared" si="1"/>
        <v>3.6551279294776418E-3</v>
      </c>
    </row>
    <row r="13" spans="1:41" x14ac:dyDescent="0.25">
      <c r="W13" s="133">
        <v>42739</v>
      </c>
      <c r="X13" s="10">
        <v>45</v>
      </c>
      <c r="Y13" s="10">
        <v>46.61</v>
      </c>
      <c r="Z13" s="10">
        <v>44.98</v>
      </c>
      <c r="AA13" s="10">
        <v>46.51</v>
      </c>
      <c r="AB13" s="95">
        <v>5465300</v>
      </c>
      <c r="AC13" s="10">
        <v>46.51</v>
      </c>
      <c r="AD13" s="2">
        <f t="shared" si="0"/>
        <v>1.6300000000000026</v>
      </c>
      <c r="AE13" s="138">
        <f t="shared" si="1"/>
        <v>3.5396260017809267E-2</v>
      </c>
    </row>
    <row r="14" spans="1:41" x14ac:dyDescent="0.25">
      <c r="W14" s="133">
        <v>42738</v>
      </c>
      <c r="X14" s="10">
        <v>45</v>
      </c>
      <c r="Y14" s="10">
        <v>45.55</v>
      </c>
      <c r="Z14" s="10">
        <v>44.75</v>
      </c>
      <c r="AA14" s="10">
        <v>44.92</v>
      </c>
      <c r="AB14" s="95">
        <v>3827600</v>
      </c>
      <c r="AC14" s="10">
        <v>44.92</v>
      </c>
      <c r="AD14" s="2">
        <f t="shared" si="0"/>
        <v>0.79999999999999716</v>
      </c>
      <c r="AE14" s="138">
        <f t="shared" si="1"/>
        <v>6.0470324748040927E-3</v>
      </c>
    </row>
    <row r="15" spans="1:41" x14ac:dyDescent="0.25">
      <c r="W15" s="133">
        <v>42734</v>
      </c>
      <c r="X15" s="10">
        <v>45.43</v>
      </c>
      <c r="Y15" s="10">
        <v>45.43</v>
      </c>
      <c r="Z15" s="10">
        <v>44.5</v>
      </c>
      <c r="AA15" s="10">
        <v>44.65</v>
      </c>
      <c r="AB15" s="95">
        <v>2047000</v>
      </c>
      <c r="AC15" s="10">
        <v>44.65</v>
      </c>
      <c r="AD15" s="2">
        <f t="shared" si="0"/>
        <v>0.92999999999999972</v>
      </c>
      <c r="AE15" s="138">
        <f t="shared" si="1"/>
        <v>-1.4348785871964642E-2</v>
      </c>
    </row>
    <row r="16" spans="1:41" x14ac:dyDescent="0.25">
      <c r="W16" s="133">
        <v>42733</v>
      </c>
      <c r="X16" s="10">
        <v>45.31</v>
      </c>
      <c r="Y16" s="10">
        <v>45.49</v>
      </c>
      <c r="Z16" s="10">
        <v>44.98</v>
      </c>
      <c r="AA16" s="10">
        <v>45.3</v>
      </c>
      <c r="AB16" s="95">
        <v>1560600</v>
      </c>
      <c r="AC16" s="10">
        <v>45.3</v>
      </c>
      <c r="AD16" s="2">
        <f t="shared" si="0"/>
        <v>0.51000000000000512</v>
      </c>
      <c r="AE16" s="138">
        <f t="shared" si="1"/>
        <v>-1.5428697377121159E-3</v>
      </c>
    </row>
    <row r="17" spans="1:31" x14ac:dyDescent="0.25">
      <c r="W17" s="133">
        <v>42732</v>
      </c>
      <c r="X17" s="10">
        <v>45.75</v>
      </c>
      <c r="Y17" s="10">
        <v>45.84</v>
      </c>
      <c r="Z17" s="10">
        <v>45.3</v>
      </c>
      <c r="AA17" s="10">
        <v>45.37</v>
      </c>
      <c r="AB17" s="95">
        <v>1588200</v>
      </c>
      <c r="AC17" s="10">
        <v>45.37</v>
      </c>
      <c r="AD17" s="2">
        <f t="shared" si="0"/>
        <v>0.54000000000000625</v>
      </c>
      <c r="AE17" s="138">
        <f t="shared" si="1"/>
        <v>-2.6379424049242095E-3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45.55</v>
      </c>
      <c r="Y18" s="10">
        <v>45.62</v>
      </c>
      <c r="Z18" s="10">
        <v>45.26</v>
      </c>
      <c r="AA18" s="10">
        <v>45.49</v>
      </c>
      <c r="AB18" s="95">
        <v>1515200</v>
      </c>
      <c r="AC18" s="10">
        <v>45.49</v>
      </c>
      <c r="AD18" s="2">
        <f t="shared" si="0"/>
        <v>0.35999999999999943</v>
      </c>
      <c r="AE18" s="138">
        <f t="shared" si="1"/>
        <v>2.2031284423882358E-3</v>
      </c>
    </row>
    <row r="19" spans="1:31" x14ac:dyDescent="0.25">
      <c r="G19" s="2"/>
      <c r="W19" s="133">
        <v>42727</v>
      </c>
      <c r="X19" s="10">
        <v>45.56</v>
      </c>
      <c r="Y19" s="10">
        <v>45.66</v>
      </c>
      <c r="Z19" s="10">
        <v>45.2</v>
      </c>
      <c r="AA19" s="10">
        <v>45.39</v>
      </c>
      <c r="AB19" s="95">
        <v>1808700</v>
      </c>
      <c r="AC19" s="10">
        <v>45.39</v>
      </c>
      <c r="AD19" s="2">
        <f t="shared" si="0"/>
        <v>0.45999999999999375</v>
      </c>
      <c r="AE19" s="138">
        <f t="shared" si="1"/>
        <v>-3.2938076416336726E-3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46.15</v>
      </c>
      <c r="Y20" s="10">
        <v>46.36</v>
      </c>
      <c r="Z20" s="10">
        <v>45.51</v>
      </c>
      <c r="AA20" s="10">
        <v>45.54</v>
      </c>
      <c r="AB20" s="95">
        <v>2591900</v>
      </c>
      <c r="AC20" s="10">
        <v>45.54</v>
      </c>
      <c r="AD20" s="2">
        <f t="shared" si="0"/>
        <v>0.85000000000000142</v>
      </c>
      <c r="AE20" s="138">
        <f t="shared" si="1"/>
        <v>-1.3645224171540016E-2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42725</v>
      </c>
      <c r="X21" s="10">
        <v>45.89</v>
      </c>
      <c r="Y21" s="10">
        <v>46.47</v>
      </c>
      <c r="Z21" s="10">
        <v>45.81</v>
      </c>
      <c r="AA21" s="10">
        <v>46.17</v>
      </c>
      <c r="AB21" s="95">
        <v>3422100</v>
      </c>
      <c r="AC21" s="10">
        <v>46.17</v>
      </c>
      <c r="AD21" s="2">
        <f t="shared" si="0"/>
        <v>0.65999999999999659</v>
      </c>
      <c r="AE21" s="138">
        <f t="shared" si="1"/>
        <v>1.2278009208506857E-2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42724</v>
      </c>
      <c r="X22" s="10">
        <v>45.78</v>
      </c>
      <c r="Y22" s="10">
        <v>46.08</v>
      </c>
      <c r="Z22" s="10">
        <v>45.47</v>
      </c>
      <c r="AA22" s="10">
        <v>45.61</v>
      </c>
      <c r="AB22" s="95">
        <v>4513900</v>
      </c>
      <c r="AC22" s="10">
        <v>45.61</v>
      </c>
      <c r="AD22" s="2">
        <f t="shared" si="0"/>
        <v>0.60999999999999943</v>
      </c>
      <c r="AE22" s="138">
        <f t="shared" si="1"/>
        <v>-1.9693654266959015E-3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42723</v>
      </c>
      <c r="X23" s="10">
        <v>46.16</v>
      </c>
      <c r="Y23" s="10">
        <v>46.39</v>
      </c>
      <c r="Z23" s="10">
        <v>45.49</v>
      </c>
      <c r="AA23" s="10">
        <v>45.7</v>
      </c>
      <c r="AB23" s="95">
        <v>3584700</v>
      </c>
      <c r="AC23" s="10">
        <v>45.7</v>
      </c>
      <c r="AD23" s="2">
        <f t="shared" si="0"/>
        <v>0.89999999999999858</v>
      </c>
      <c r="AE23" s="138">
        <f t="shared" si="1"/>
        <v>-1.039411000433077E-2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42720</v>
      </c>
      <c r="X24" s="10">
        <v>46.68</v>
      </c>
      <c r="Y24" s="10">
        <v>46.98</v>
      </c>
      <c r="Z24" s="10">
        <v>45.94</v>
      </c>
      <c r="AA24" s="10">
        <v>46.18</v>
      </c>
      <c r="AB24" s="95">
        <v>6415200</v>
      </c>
      <c r="AC24" s="10">
        <v>46.18</v>
      </c>
      <c r="AD24" s="2">
        <f t="shared" si="0"/>
        <v>1.0399999999999991</v>
      </c>
      <c r="AE24" s="138">
        <f t="shared" si="1"/>
        <v>-1.0711225364181676E-2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42719</v>
      </c>
      <c r="X25" s="10">
        <v>46.54</v>
      </c>
      <c r="Y25" s="10">
        <v>46.83</v>
      </c>
      <c r="Z25" s="10">
        <v>46.02</v>
      </c>
      <c r="AA25" s="10">
        <v>46.68</v>
      </c>
      <c r="AB25" s="95">
        <v>5862000</v>
      </c>
      <c r="AC25" s="10">
        <v>46.68</v>
      </c>
      <c r="AD25" s="2">
        <f t="shared" si="0"/>
        <v>0.80999999999999517</v>
      </c>
      <c r="AE25" s="138">
        <f t="shared" si="1"/>
        <v>8.5763293310470168E-4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42718</v>
      </c>
      <c r="X26" s="10">
        <v>47.36</v>
      </c>
      <c r="Y26" s="10">
        <v>47.62</v>
      </c>
      <c r="Z26" s="10">
        <v>46.56</v>
      </c>
      <c r="AA26" s="10">
        <v>46.64</v>
      </c>
      <c r="AB26" s="95">
        <v>5930500</v>
      </c>
      <c r="AC26" s="10">
        <v>46.64</v>
      </c>
      <c r="AD26" s="2">
        <f t="shared" si="0"/>
        <v>1.0599999999999952</v>
      </c>
      <c r="AE26" s="138">
        <f t="shared" si="1"/>
        <v>-1.3953488372092981E-2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42717</v>
      </c>
      <c r="X27" s="10">
        <v>47.65</v>
      </c>
      <c r="Y27" s="10">
        <v>48.02</v>
      </c>
      <c r="Z27" s="10">
        <v>47.05</v>
      </c>
      <c r="AA27" s="10">
        <v>47.3</v>
      </c>
      <c r="AB27" s="95">
        <v>6162400</v>
      </c>
      <c r="AC27" s="10">
        <v>47.3</v>
      </c>
      <c r="AD27" s="2">
        <f t="shared" si="0"/>
        <v>0.97000000000000597</v>
      </c>
      <c r="AE27" s="138">
        <f t="shared" si="1"/>
        <v>1.7641996557659301E-2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42716</v>
      </c>
      <c r="X28" s="10">
        <v>45.75</v>
      </c>
      <c r="Y28" s="10">
        <v>46.49</v>
      </c>
      <c r="Z28" s="10">
        <v>45.29</v>
      </c>
      <c r="AA28" s="10">
        <v>46.48</v>
      </c>
      <c r="AB28" s="95">
        <v>3654100</v>
      </c>
      <c r="AC28" s="10">
        <v>46.48</v>
      </c>
      <c r="AD28" s="2">
        <f t="shared" si="0"/>
        <v>1.2000000000000028</v>
      </c>
      <c r="AE28" s="138">
        <f t="shared" si="1"/>
        <v>2.0865363496595624E-2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42713</v>
      </c>
      <c r="X29" s="10">
        <v>45.16</v>
      </c>
      <c r="Y29" s="10">
        <v>45.83</v>
      </c>
      <c r="Z29" s="10">
        <v>45.08</v>
      </c>
      <c r="AA29" s="10">
        <v>45.53</v>
      </c>
      <c r="AB29" s="95">
        <v>5157600</v>
      </c>
      <c r="AC29" s="10">
        <v>45.53</v>
      </c>
      <c r="AD29" s="2">
        <f t="shared" si="0"/>
        <v>0.75</v>
      </c>
      <c r="AE29" s="138">
        <f t="shared" si="1"/>
        <v>7.5237884487719953E-3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42712</v>
      </c>
      <c r="X30" s="10">
        <v>45.62</v>
      </c>
      <c r="Y30" s="10">
        <v>45.65</v>
      </c>
      <c r="Z30" s="10">
        <v>44.71</v>
      </c>
      <c r="AA30" s="10">
        <v>45.19</v>
      </c>
      <c r="AB30" s="95">
        <v>6359800</v>
      </c>
      <c r="AC30" s="10">
        <v>45.19</v>
      </c>
      <c r="AD30" s="2">
        <f t="shared" si="0"/>
        <v>0.93999999999999773</v>
      </c>
      <c r="AE30" s="138">
        <f t="shared" si="1"/>
        <v>-1.0076670317634151E-2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42711</v>
      </c>
      <c r="X31" s="10">
        <v>45.51</v>
      </c>
      <c r="Y31" s="10">
        <v>45.92</v>
      </c>
      <c r="Z31" s="10">
        <v>44.24</v>
      </c>
      <c r="AA31" s="10">
        <v>45.65</v>
      </c>
      <c r="AB31" s="95">
        <v>5169100</v>
      </c>
      <c r="AC31" s="10">
        <v>45.65</v>
      </c>
      <c r="AD31" s="2">
        <f t="shared" si="0"/>
        <v>1.6799999999999997</v>
      </c>
      <c r="AE31" s="138">
        <f t="shared" si="1"/>
        <v>-6.567425569177221E-4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42710</v>
      </c>
      <c r="X32" s="10">
        <v>45.65</v>
      </c>
      <c r="Y32" s="10">
        <v>45.96</v>
      </c>
      <c r="Z32" s="10">
        <v>45.56</v>
      </c>
      <c r="AA32" s="10">
        <v>45.68</v>
      </c>
      <c r="AB32" s="95">
        <v>2854000</v>
      </c>
      <c r="AC32" s="10">
        <v>45.68</v>
      </c>
      <c r="AD32" s="2">
        <f t="shared" si="0"/>
        <v>0.39999999999999858</v>
      </c>
      <c r="AE32" s="138">
        <f t="shared" si="1"/>
        <v>-4.3763676148800279E-4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45.95</v>
      </c>
      <c r="Y33" s="10">
        <v>46.15</v>
      </c>
      <c r="Z33" s="10">
        <v>45.57</v>
      </c>
      <c r="AA33" s="10">
        <v>45.7</v>
      </c>
      <c r="AB33" s="95">
        <v>3109100</v>
      </c>
      <c r="AC33" s="10">
        <v>45.7</v>
      </c>
      <c r="AD33" s="2">
        <f t="shared" si="0"/>
        <v>0.57999999999999829</v>
      </c>
      <c r="AE33" s="138">
        <f t="shared" si="1"/>
        <v>4.378283712784814E-4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45.44</v>
      </c>
      <c r="Y34" s="10">
        <v>46.08</v>
      </c>
      <c r="Z34" s="10">
        <v>45.37</v>
      </c>
      <c r="AA34" s="10">
        <v>45.68</v>
      </c>
      <c r="AB34" s="95">
        <v>3020700</v>
      </c>
      <c r="AC34" s="10">
        <v>45.68</v>
      </c>
      <c r="AD34" s="2">
        <f t="shared" si="0"/>
        <v>0.71000000000000085</v>
      </c>
      <c r="AE34" s="138">
        <f t="shared" si="1"/>
        <v>5.2816901408450079E-3</v>
      </c>
    </row>
    <row r="35" spans="1:31" x14ac:dyDescent="0.25">
      <c r="W35" s="133">
        <v>42705</v>
      </c>
      <c r="X35" s="10">
        <v>46.87</v>
      </c>
      <c r="Y35" s="10">
        <v>46.99</v>
      </c>
      <c r="Z35" s="10">
        <v>45.26</v>
      </c>
      <c r="AA35" s="10">
        <v>45.44</v>
      </c>
      <c r="AB35" s="95">
        <v>5975700</v>
      </c>
      <c r="AC35" s="10">
        <v>45.44</v>
      </c>
      <c r="AD35" s="2">
        <f t="shared" si="0"/>
        <v>1.730000000000004</v>
      </c>
      <c r="AE35" s="138">
        <f t="shared" si="1"/>
        <v>-3.3397149542650495E-2</v>
      </c>
    </row>
    <row r="36" spans="1:31" x14ac:dyDescent="0.25">
      <c r="L36" t="s">
        <v>216</v>
      </c>
      <c r="M36" s="2">
        <f>M50+K50-F50</f>
        <v>75.019999999999982</v>
      </c>
      <c r="W36" s="133">
        <v>42704</v>
      </c>
      <c r="X36" s="10">
        <v>47.54</v>
      </c>
      <c r="Y36" s="10">
        <v>48.02</v>
      </c>
      <c r="Z36" s="10">
        <v>46.47</v>
      </c>
      <c r="AA36" s="10">
        <v>47.01</v>
      </c>
      <c r="AB36" s="95">
        <v>9100600</v>
      </c>
      <c r="AC36" s="10">
        <v>47.01</v>
      </c>
      <c r="AD36" s="2">
        <f t="shared" si="0"/>
        <v>1.5500000000000043</v>
      </c>
      <c r="AE36" s="138">
        <f t="shared" si="1"/>
        <v>-9.6903307352012025E-3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42703</v>
      </c>
      <c r="X37" s="10">
        <v>47.63</v>
      </c>
      <c r="Y37" s="10">
        <v>48.05</v>
      </c>
      <c r="Z37" s="10">
        <v>47.31</v>
      </c>
      <c r="AA37" s="10">
        <v>47.47</v>
      </c>
      <c r="AB37" s="95">
        <v>2614100</v>
      </c>
      <c r="AC37" s="10">
        <v>47.47</v>
      </c>
      <c r="AD37" s="2">
        <f t="shared" si="0"/>
        <v>0.73999999999999488</v>
      </c>
      <c r="AE37" s="138">
        <f t="shared" si="1"/>
        <v>-2.5215381382643898E-3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42702</v>
      </c>
      <c r="X38" s="10">
        <v>48.08</v>
      </c>
      <c r="Y38" s="10">
        <v>48.45</v>
      </c>
      <c r="Z38" s="10">
        <v>47.54</v>
      </c>
      <c r="AA38" s="10">
        <v>47.59</v>
      </c>
      <c r="AB38" s="95">
        <v>3355200</v>
      </c>
      <c r="AC38" s="10">
        <v>47.59</v>
      </c>
      <c r="AD38" s="2">
        <f t="shared" si="0"/>
        <v>0.91000000000000369</v>
      </c>
      <c r="AE38" s="138" t="e">
        <f t="shared" si="1"/>
        <v>#DIV/0!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42702</v>
      </c>
      <c r="X39" s="10" t="s">
        <v>181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42699</v>
      </c>
      <c r="X40" s="10">
        <v>48.21</v>
      </c>
      <c r="Y40" s="10">
        <v>48.6</v>
      </c>
      <c r="Z40" s="10">
        <v>48.07</v>
      </c>
      <c r="AA40" s="10">
        <v>48.46</v>
      </c>
      <c r="AB40" s="95">
        <v>1151200</v>
      </c>
      <c r="AC40" s="10">
        <v>48.27</v>
      </c>
      <c r="AD40" s="2">
        <f t="shared" si="0"/>
        <v>0.53000000000000114</v>
      </c>
      <c r="AE40" s="138">
        <f t="shared" si="1"/>
        <v>6.0441850771155714E-3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48.09</v>
      </c>
      <c r="Y41" s="10">
        <v>48.35</v>
      </c>
      <c r="Z41" s="10">
        <v>47.97</v>
      </c>
      <c r="AA41" s="10">
        <v>48.17</v>
      </c>
      <c r="AB41" s="95">
        <v>2619600</v>
      </c>
      <c r="AC41" s="10">
        <v>47.98</v>
      </c>
      <c r="AD41" s="2">
        <f t="shared" si="0"/>
        <v>0.38000000000000256</v>
      </c>
      <c r="AE41" s="138">
        <f t="shared" si="1"/>
        <v>1.461072844917588E-3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42696</v>
      </c>
      <c r="X42" s="10">
        <v>47.76</v>
      </c>
      <c r="Y42" s="10">
        <v>48.4</v>
      </c>
      <c r="Z42" s="10">
        <v>47.76</v>
      </c>
      <c r="AA42" s="10">
        <v>48.1</v>
      </c>
      <c r="AB42" s="95">
        <v>3347300</v>
      </c>
      <c r="AC42" s="10">
        <v>47.91</v>
      </c>
      <c r="AD42" s="2">
        <f t="shared" si="0"/>
        <v>0.64000000000000057</v>
      </c>
      <c r="AE42" s="138">
        <f t="shared" si="1"/>
        <v>1.1186154495567591E-2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50.688000000000002</v>
      </c>
      <c r="Q43" s="34"/>
      <c r="R43" s="34"/>
      <c r="T43" s="128" t="s">
        <v>98</v>
      </c>
      <c r="U43" s="98">
        <v>45.97</v>
      </c>
      <c r="W43" s="133">
        <v>42695</v>
      </c>
      <c r="X43" s="10">
        <v>46.88</v>
      </c>
      <c r="Y43" s="10">
        <v>47.61</v>
      </c>
      <c r="Z43" s="10">
        <v>46.84</v>
      </c>
      <c r="AA43" s="10">
        <v>47.57</v>
      </c>
      <c r="AB43" s="95">
        <v>2827900</v>
      </c>
      <c r="AC43" s="10">
        <v>47.38</v>
      </c>
      <c r="AD43" s="2">
        <f t="shared" si="0"/>
        <v>0.76999999999999602</v>
      </c>
      <c r="AE43" s="138">
        <f t="shared" si="1"/>
        <v>1.7611683848797188E-2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50.227200000000003</v>
      </c>
      <c r="Q44" s="34"/>
      <c r="R44" s="34"/>
      <c r="T44" s="93" t="s">
        <v>99</v>
      </c>
      <c r="U44" s="88">
        <v>46.29</v>
      </c>
      <c r="W44" s="133">
        <v>42692</v>
      </c>
      <c r="X44" s="10">
        <v>47.56</v>
      </c>
      <c r="Y44" s="10">
        <v>47.75</v>
      </c>
      <c r="Z44" s="10">
        <v>46.51</v>
      </c>
      <c r="AA44" s="10">
        <v>46.74</v>
      </c>
      <c r="AB44" s="95">
        <v>2975300</v>
      </c>
      <c r="AC44" s="10">
        <v>46.56</v>
      </c>
      <c r="AD44" s="2">
        <f t="shared" si="0"/>
        <v>1.240000000000002</v>
      </c>
      <c r="AE44" s="138">
        <f t="shared" si="1"/>
        <v>-1.7099430018999273E-2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49.766400000000004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47.1</v>
      </c>
      <c r="Y45" s="10">
        <v>47.71</v>
      </c>
      <c r="Z45" s="10">
        <v>46.78</v>
      </c>
      <c r="AA45" s="10">
        <v>47.56</v>
      </c>
      <c r="AB45" s="95">
        <v>3926700</v>
      </c>
      <c r="AC45" s="10">
        <v>47.37</v>
      </c>
      <c r="AD45" s="2">
        <f t="shared" si="0"/>
        <v>0.92999999999999972</v>
      </c>
      <c r="AE45" s="138">
        <f t="shared" si="1"/>
        <v>1.3262032085561426E-2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49.305599999999998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46.99</v>
      </c>
      <c r="Y46" s="10">
        <v>47.21</v>
      </c>
      <c r="Z46" s="10">
        <v>46.66</v>
      </c>
      <c r="AA46" s="10">
        <v>46.93</v>
      </c>
      <c r="AB46" s="95">
        <v>3884100</v>
      </c>
      <c r="AC46" s="10">
        <v>46.75</v>
      </c>
      <c r="AD46" s="2">
        <f t="shared" si="0"/>
        <v>0.55000000000000426</v>
      </c>
      <c r="AE46" s="138">
        <f t="shared" si="1"/>
        <v>-2.5602730957968722E-3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48.844799999999999</v>
      </c>
      <c r="Q47" s="83"/>
      <c r="R47" s="34"/>
      <c r="T47" s="93" t="s">
        <v>102</v>
      </c>
      <c r="U47" s="88">
        <v>57.31</v>
      </c>
      <c r="W47" s="133">
        <v>42689</v>
      </c>
      <c r="X47" s="10">
        <v>46.72</v>
      </c>
      <c r="Y47" s="10">
        <v>47.57</v>
      </c>
      <c r="Z47" s="10">
        <v>46.57</v>
      </c>
      <c r="AA47" s="10">
        <v>47.05</v>
      </c>
      <c r="AB47" s="95">
        <v>6100700</v>
      </c>
      <c r="AC47" s="10">
        <v>46.87</v>
      </c>
      <c r="AD47" s="2">
        <f t="shared" si="0"/>
        <v>1</v>
      </c>
      <c r="AE47" s="138">
        <f t="shared" si="1"/>
        <v>1.1655514785236409E-2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48.384</v>
      </c>
      <c r="Q48" s="83"/>
      <c r="R48" s="34"/>
      <c r="T48" s="93" t="s">
        <v>103</v>
      </c>
      <c r="U48" s="88">
        <v>1.14598</v>
      </c>
      <c r="W48" s="133">
        <v>42688</v>
      </c>
      <c r="X48" s="10">
        <v>47.6</v>
      </c>
      <c r="Y48" s="10">
        <v>47.78</v>
      </c>
      <c r="Z48" s="10">
        <v>45.95</v>
      </c>
      <c r="AA48" s="10">
        <v>46.51</v>
      </c>
      <c r="AB48" s="95">
        <v>6925700</v>
      </c>
      <c r="AC48" s="10">
        <v>46.33</v>
      </c>
      <c r="AD48" s="2">
        <f t="shared" si="0"/>
        <v>1.8299999999999983</v>
      </c>
      <c r="AE48" s="138">
        <f t="shared" si="1"/>
        <v>-1.9678374947101118E-2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47.923200000000001</v>
      </c>
      <c r="Q49" s="83"/>
      <c r="R49" s="34"/>
      <c r="T49" s="93" t="s">
        <v>104</v>
      </c>
      <c r="U49" s="88" t="s">
        <v>559</v>
      </c>
      <c r="W49" s="133">
        <v>42685</v>
      </c>
      <c r="X49" s="10">
        <v>47.52</v>
      </c>
      <c r="Y49" s="10">
        <v>48.33</v>
      </c>
      <c r="Z49" s="10">
        <v>47.24</v>
      </c>
      <c r="AA49" s="10">
        <v>47.45</v>
      </c>
      <c r="AB49" s="95">
        <v>7718600</v>
      </c>
      <c r="AC49" s="10">
        <v>47.26</v>
      </c>
      <c r="AD49" s="2">
        <f t="shared" si="0"/>
        <v>1.0899999999999963</v>
      </c>
      <c r="AE49" s="138">
        <f t="shared" si="1"/>
        <v>-4.4238466399831866E-3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47.462400000000002</v>
      </c>
      <c r="Q50" s="83"/>
      <c r="R50" s="34"/>
      <c r="T50" s="93"/>
      <c r="U50" s="88"/>
      <c r="W50" s="133">
        <v>42684</v>
      </c>
      <c r="X50" s="10">
        <v>49.99</v>
      </c>
      <c r="Y50" s="10">
        <v>50.31</v>
      </c>
      <c r="Z50" s="10">
        <v>47.43</v>
      </c>
      <c r="AA50" s="10">
        <v>47.66</v>
      </c>
      <c r="AB50" s="95">
        <v>8381800</v>
      </c>
      <c r="AC50" s="10">
        <v>47.47</v>
      </c>
      <c r="AD50" s="2">
        <f t="shared" si="0"/>
        <v>2.8800000000000026</v>
      </c>
      <c r="AE50" s="138">
        <f t="shared" si="1"/>
        <v>-3.9263307022869842E-2</v>
      </c>
    </row>
    <row r="51" spans="1:31" x14ac:dyDescent="0.25">
      <c r="G51" s="2"/>
      <c r="O51" s="83">
        <v>1.02</v>
      </c>
      <c r="P51" s="83">
        <f t="shared" si="5"/>
        <v>47.001599999999996</v>
      </c>
      <c r="Q51" s="83"/>
      <c r="R51" s="34"/>
      <c r="T51" s="93" t="s">
        <v>105</v>
      </c>
      <c r="U51" s="88" t="s">
        <v>560</v>
      </c>
      <c r="W51" s="133">
        <v>42683</v>
      </c>
      <c r="X51" s="10">
        <v>49.24</v>
      </c>
      <c r="Y51" s="10">
        <v>50.26</v>
      </c>
      <c r="Z51" s="10">
        <v>49</v>
      </c>
      <c r="AA51" s="10">
        <v>49.6</v>
      </c>
      <c r="AB51" s="95">
        <v>5966500</v>
      </c>
      <c r="AC51" s="10">
        <v>49.41</v>
      </c>
      <c r="AD51" s="2">
        <f t="shared" si="0"/>
        <v>1.259999999999998</v>
      </c>
      <c r="AE51" s="138">
        <f t="shared" si="1"/>
        <v>-1.5933081059549936E-2</v>
      </c>
    </row>
    <row r="52" spans="1:31" x14ac:dyDescent="0.25">
      <c r="O52" s="83">
        <v>1.01</v>
      </c>
      <c r="P52" s="83">
        <f t="shared" si="5"/>
        <v>46.540799999999997</v>
      </c>
      <c r="Q52" s="83"/>
      <c r="R52" s="34"/>
      <c r="T52" s="93" t="s">
        <v>106</v>
      </c>
      <c r="U52" s="88" t="s">
        <v>274</v>
      </c>
      <c r="W52" s="133">
        <v>42682</v>
      </c>
      <c r="X52" s="10">
        <v>49.72</v>
      </c>
      <c r="Y52" s="10">
        <v>50.7</v>
      </c>
      <c r="Z52" s="10">
        <v>49.46</v>
      </c>
      <c r="AA52" s="10">
        <v>50.41</v>
      </c>
      <c r="AB52" s="95">
        <v>4206200</v>
      </c>
      <c r="AC52" s="10">
        <v>50.21</v>
      </c>
      <c r="AD52" s="2">
        <f t="shared" si="0"/>
        <v>1.240000000000002</v>
      </c>
      <c r="AE52" s="138">
        <f t="shared" si="1"/>
        <v>2.532162548499084E-2</v>
      </c>
    </row>
    <row r="53" spans="1:31" x14ac:dyDescent="0.25">
      <c r="O53" s="83">
        <v>1</v>
      </c>
      <c r="P53" s="83">
        <f t="shared" si="5"/>
        <v>46.08</v>
      </c>
      <c r="Q53" s="83"/>
      <c r="R53" s="34"/>
      <c r="T53" s="93" t="s">
        <v>107</v>
      </c>
      <c r="U53" s="90">
        <v>3264115</v>
      </c>
      <c r="W53" s="133">
        <v>42681</v>
      </c>
      <c r="X53" s="10">
        <v>48.2</v>
      </c>
      <c r="Y53" s="10">
        <v>49.25</v>
      </c>
      <c r="Z53" s="10">
        <v>48.2</v>
      </c>
      <c r="AA53" s="10">
        <v>49.16</v>
      </c>
      <c r="AB53" s="95">
        <v>3923300</v>
      </c>
      <c r="AC53" s="10">
        <v>48.97</v>
      </c>
      <c r="AD53" s="2">
        <f t="shared" si="0"/>
        <v>1.0499999999999972</v>
      </c>
      <c r="AE53" s="138">
        <f t="shared" si="1"/>
        <v>3.4213305174234376E-2</v>
      </c>
    </row>
    <row r="54" spans="1:31" x14ac:dyDescent="0.25">
      <c r="O54" s="83">
        <v>0.99</v>
      </c>
      <c r="P54" s="83">
        <f t="shared" si="5"/>
        <v>45.619199999999999</v>
      </c>
      <c r="Q54" s="83"/>
      <c r="R54" s="34"/>
      <c r="T54" s="93" t="s">
        <v>110</v>
      </c>
      <c r="U54" s="90">
        <v>4295610</v>
      </c>
      <c r="W54" s="133">
        <v>42678</v>
      </c>
      <c r="X54" s="10">
        <v>47.65</v>
      </c>
      <c r="Y54" s="10">
        <v>48.09</v>
      </c>
      <c r="Z54" s="10">
        <v>47.47</v>
      </c>
      <c r="AA54" s="10">
        <v>47.54</v>
      </c>
      <c r="AB54" s="95">
        <v>3917700</v>
      </c>
      <c r="AC54" s="10">
        <v>47.35</v>
      </c>
      <c r="AD54" s="2">
        <f t="shared" si="0"/>
        <v>0.62000000000000455</v>
      </c>
      <c r="AE54" s="138">
        <f t="shared" si="1"/>
        <v>-1.476170392239573E-3</v>
      </c>
    </row>
    <row r="55" spans="1:31" x14ac:dyDescent="0.25">
      <c r="O55" s="83">
        <v>0.98</v>
      </c>
      <c r="P55" s="83">
        <f t="shared" si="5"/>
        <v>45.1584</v>
      </c>
      <c r="Q55" s="83"/>
      <c r="T55" s="93" t="s">
        <v>108</v>
      </c>
      <c r="U55" s="88" t="s">
        <v>561</v>
      </c>
      <c r="W55" s="133">
        <v>42677</v>
      </c>
      <c r="X55" s="10">
        <v>47.78</v>
      </c>
      <c r="Y55" s="10">
        <v>48.06</v>
      </c>
      <c r="Z55" s="10">
        <v>47.4</v>
      </c>
      <c r="AA55" s="10">
        <v>47.61</v>
      </c>
      <c r="AB55" s="95">
        <v>4203500</v>
      </c>
      <c r="AC55" s="10">
        <v>47.42</v>
      </c>
      <c r="AD55" s="2">
        <f t="shared" si="0"/>
        <v>0.66000000000000369</v>
      </c>
      <c r="AE55" s="138">
        <f t="shared" si="1"/>
        <v>-8.4281500210703353E-4</v>
      </c>
    </row>
    <row r="56" spans="1:31" x14ac:dyDescent="0.25">
      <c r="O56" s="83">
        <v>0.97</v>
      </c>
      <c r="P56" s="83">
        <f t="shared" si="5"/>
        <v>44.697599999999994</v>
      </c>
      <c r="Q56" s="83"/>
      <c r="T56" s="93" t="s">
        <v>111</v>
      </c>
      <c r="U56" s="88">
        <v>44.91</v>
      </c>
      <c r="W56" s="133">
        <v>42676</v>
      </c>
      <c r="X56" s="10">
        <v>48.16</v>
      </c>
      <c r="Y56" s="10">
        <v>48.23</v>
      </c>
      <c r="Z56" s="10">
        <v>47.65</v>
      </c>
      <c r="AA56" s="10">
        <v>47.65</v>
      </c>
      <c r="AB56" s="95">
        <v>4623700</v>
      </c>
      <c r="AC56" s="10">
        <v>47.46</v>
      </c>
      <c r="AD56" s="2">
        <f t="shared" si="0"/>
        <v>0.57999999999999829</v>
      </c>
      <c r="AE56" s="138">
        <f t="shared" si="1"/>
        <v>-1.0631644777986171E-2</v>
      </c>
    </row>
    <row r="57" spans="1:31" x14ac:dyDescent="0.25">
      <c r="O57" s="83">
        <v>0.96</v>
      </c>
      <c r="P57" s="83">
        <f t="shared" si="5"/>
        <v>44.236799999999995</v>
      </c>
      <c r="Q57" s="83"/>
      <c r="T57" s="93" t="s">
        <v>112</v>
      </c>
      <c r="U57" s="88">
        <v>1.03</v>
      </c>
      <c r="W57" s="133">
        <v>42675</v>
      </c>
      <c r="X57" s="10">
        <v>48.56</v>
      </c>
      <c r="Y57" s="10">
        <v>49.44</v>
      </c>
      <c r="Z57" s="10">
        <v>47.63</v>
      </c>
      <c r="AA57" s="10">
        <v>48.16</v>
      </c>
      <c r="AB57" s="95">
        <v>6953500</v>
      </c>
      <c r="AC57" s="10">
        <v>47.97</v>
      </c>
      <c r="AD57" s="2">
        <f t="shared" si="0"/>
        <v>1.8099999999999952</v>
      </c>
      <c r="AE57" s="138">
        <f t="shared" si="1"/>
        <v>2.927033242734689E-3</v>
      </c>
    </row>
    <row r="58" spans="1:31" x14ac:dyDescent="0.25">
      <c r="O58" s="83">
        <v>0.95</v>
      </c>
      <c r="P58" s="83">
        <f t="shared" si="5"/>
        <v>43.775999999999996</v>
      </c>
      <c r="Q58" s="83"/>
      <c r="T58" s="93" t="s">
        <v>109</v>
      </c>
      <c r="U58" s="88" t="s">
        <v>645</v>
      </c>
      <c r="W58" s="133">
        <v>42674</v>
      </c>
      <c r="X58" s="10">
        <v>49.68</v>
      </c>
      <c r="Y58" s="10">
        <v>49.89</v>
      </c>
      <c r="Z58" s="10">
        <v>47.86</v>
      </c>
      <c r="AA58" s="10">
        <v>48.02</v>
      </c>
      <c r="AB58" s="95">
        <v>7580600</v>
      </c>
      <c r="AC58" s="10">
        <v>47.83</v>
      </c>
      <c r="AD58" s="2">
        <f t="shared" si="0"/>
        <v>2.0300000000000011</v>
      </c>
      <c r="AE58" s="138">
        <f t="shared" si="1"/>
        <v>-2.8043080674659659E-2</v>
      </c>
    </row>
    <row r="59" spans="1:31" x14ac:dyDescent="0.25">
      <c r="O59" s="83">
        <v>0.94</v>
      </c>
      <c r="P59" s="83">
        <f t="shared" si="5"/>
        <v>43.315199999999997</v>
      </c>
      <c r="Q59" s="83"/>
      <c r="W59" s="133">
        <v>42671</v>
      </c>
      <c r="X59" s="10">
        <v>49.06</v>
      </c>
      <c r="Y59" s="10">
        <v>50.32</v>
      </c>
      <c r="Z59" s="10">
        <v>48.75</v>
      </c>
      <c r="AA59" s="10">
        <v>49.4</v>
      </c>
      <c r="AB59" s="95">
        <v>10896400</v>
      </c>
      <c r="AC59" s="10">
        <v>49.21</v>
      </c>
      <c r="AD59" s="2">
        <f t="shared" si="0"/>
        <v>1.5700000000000003</v>
      </c>
      <c r="AE59" s="138">
        <f t="shared" si="1"/>
        <v>-1.5800000000000036E-2</v>
      </c>
    </row>
    <row r="60" spans="1:31" x14ac:dyDescent="0.25">
      <c r="O60" s="83">
        <v>0.93</v>
      </c>
      <c r="P60" s="83">
        <f t="shared" si="5"/>
        <v>42.854399999999998</v>
      </c>
      <c r="Q60" s="83"/>
      <c r="W60" s="133">
        <v>42670</v>
      </c>
      <c r="X60" s="10">
        <v>51</v>
      </c>
      <c r="Y60" s="10">
        <v>51.48</v>
      </c>
      <c r="Z60" s="10">
        <v>50.03</v>
      </c>
      <c r="AA60" s="10">
        <v>50.2</v>
      </c>
      <c r="AB60" s="95">
        <v>4225500</v>
      </c>
      <c r="AC60" s="10">
        <v>50</v>
      </c>
      <c r="AD60" s="2">
        <f t="shared" si="0"/>
        <v>1.4499999999999957</v>
      </c>
      <c r="AE60" s="138">
        <f t="shared" si="1"/>
        <v>-1.302803000394781E-2</v>
      </c>
    </row>
    <row r="61" spans="1:31" x14ac:dyDescent="0.25">
      <c r="O61" s="83">
        <v>0.92</v>
      </c>
      <c r="P61" s="83">
        <f t="shared" si="5"/>
        <v>42.393599999999999</v>
      </c>
      <c r="Q61" s="83"/>
      <c r="W61" s="133">
        <v>42669</v>
      </c>
      <c r="X61" s="10">
        <v>51.52</v>
      </c>
      <c r="Y61" s="10">
        <v>51.6</v>
      </c>
      <c r="Z61" s="10">
        <v>50.82</v>
      </c>
      <c r="AA61" s="10">
        <v>50.86</v>
      </c>
      <c r="AB61" s="95">
        <v>3797900</v>
      </c>
      <c r="AC61" s="10">
        <v>50.66</v>
      </c>
      <c r="AD61" s="2">
        <f t="shared" si="0"/>
        <v>0.78000000000000114</v>
      </c>
      <c r="AE61" s="138">
        <f t="shared" si="1"/>
        <v>-1.4971806338712867E-2</v>
      </c>
    </row>
    <row r="62" spans="1:31" x14ac:dyDescent="0.25">
      <c r="O62" s="83">
        <v>0.91</v>
      </c>
      <c r="P62" s="83">
        <f t="shared" si="5"/>
        <v>41.9328</v>
      </c>
      <c r="Q62" s="83"/>
      <c r="W62" s="133">
        <v>42668</v>
      </c>
      <c r="X62" s="10">
        <v>52.22</v>
      </c>
      <c r="Y62" s="10">
        <v>52.4</v>
      </c>
      <c r="Z62" s="10">
        <v>51.52</v>
      </c>
      <c r="AA62" s="10">
        <v>51.63</v>
      </c>
      <c r="AB62" s="95">
        <v>2280800</v>
      </c>
      <c r="AC62" s="10">
        <v>51.43</v>
      </c>
      <c r="AD62" s="2">
        <f t="shared" si="0"/>
        <v>0.87999999999999545</v>
      </c>
      <c r="AE62" s="138">
        <f t="shared" si="1"/>
        <v>-1.6070403673235201E-2</v>
      </c>
    </row>
    <row r="63" spans="1:31" x14ac:dyDescent="0.25">
      <c r="O63" s="83">
        <v>0.9</v>
      </c>
      <c r="P63" s="83">
        <f t="shared" si="5"/>
        <v>41.472000000000001</v>
      </c>
      <c r="Q63" s="83"/>
      <c r="W63" s="133">
        <v>42667</v>
      </c>
      <c r="X63" s="10">
        <v>52.86</v>
      </c>
      <c r="Y63" s="10">
        <v>53.22</v>
      </c>
      <c r="Z63" s="10">
        <v>52.37</v>
      </c>
      <c r="AA63" s="10">
        <v>52.48</v>
      </c>
      <c r="AB63" s="95">
        <v>2804600</v>
      </c>
      <c r="AC63" s="10">
        <v>52.27</v>
      </c>
      <c r="AD63" s="2">
        <f t="shared" si="0"/>
        <v>0.85000000000000142</v>
      </c>
      <c r="AE63" s="138">
        <f t="shared" si="1"/>
        <v>-3.8248231019311074E-4</v>
      </c>
    </row>
    <row r="64" spans="1:31" x14ac:dyDescent="0.25">
      <c r="O64" s="34"/>
      <c r="W64" s="133">
        <v>42664</v>
      </c>
      <c r="X64" s="10">
        <v>52.13</v>
      </c>
      <c r="Y64" s="10">
        <v>52.7</v>
      </c>
      <c r="Z64" s="10">
        <v>51.98</v>
      </c>
      <c r="AA64" s="10">
        <v>52.5</v>
      </c>
      <c r="AB64" s="95">
        <v>2486000</v>
      </c>
      <c r="AC64" s="10">
        <v>52.29</v>
      </c>
      <c r="AD64" s="2">
        <f t="shared" si="0"/>
        <v>0.72000000000000597</v>
      </c>
      <c r="AE64" s="138">
        <f t="shared" si="1"/>
        <v>5.7405281285882737E-4</v>
      </c>
    </row>
    <row r="65" spans="15:31" x14ac:dyDescent="0.25">
      <c r="W65" s="133">
        <v>42663</v>
      </c>
      <c r="X65" s="10">
        <v>52.65</v>
      </c>
      <c r="Y65" s="10">
        <v>52.7</v>
      </c>
      <c r="Z65" s="10">
        <v>52.08</v>
      </c>
      <c r="AA65" s="10">
        <v>52.47</v>
      </c>
      <c r="AB65" s="95">
        <v>1943300</v>
      </c>
      <c r="AC65" s="10">
        <v>52.26</v>
      </c>
      <c r="AD65" s="2">
        <f t="shared" si="0"/>
        <v>0.62000000000000455</v>
      </c>
      <c r="AE65" s="138">
        <f t="shared" si="1"/>
        <v>-2.6717557251908497E-3</v>
      </c>
    </row>
    <row r="66" spans="15:31" x14ac:dyDescent="0.25">
      <c r="W66" s="133">
        <v>42662</v>
      </c>
      <c r="X66" s="10">
        <v>52.85</v>
      </c>
      <c r="Y66" s="10">
        <v>52.98</v>
      </c>
      <c r="Z66" s="10">
        <v>52.37</v>
      </c>
      <c r="AA66" s="10">
        <v>52.61</v>
      </c>
      <c r="AB66" s="95">
        <v>1988800</v>
      </c>
      <c r="AC66" s="10">
        <v>52.4</v>
      </c>
      <c r="AD66" s="2">
        <f t="shared" si="0"/>
        <v>0.60999999999999943</v>
      </c>
      <c r="AE66" s="138">
        <f t="shared" si="1"/>
        <v>-1.3340956737183385E-3</v>
      </c>
    </row>
    <row r="67" spans="15:31" x14ac:dyDescent="0.25">
      <c r="W67" s="133">
        <v>42661</v>
      </c>
      <c r="X67" s="10">
        <v>52.9</v>
      </c>
      <c r="Y67" s="10">
        <v>53.01</v>
      </c>
      <c r="Z67" s="10">
        <v>52.27</v>
      </c>
      <c r="AA67" s="10">
        <v>52.68</v>
      </c>
      <c r="AB67" s="95">
        <v>2645500</v>
      </c>
      <c r="AC67" s="10">
        <v>52.47</v>
      </c>
      <c r="AD67" s="2">
        <f>Y67-Z67</f>
        <v>0.73999999999999488</v>
      </c>
      <c r="AE67" s="138">
        <f>AC67/AC68-1</f>
        <v>5.1724137931032921E-3</v>
      </c>
    </row>
    <row r="68" spans="15:31" x14ac:dyDescent="0.25">
      <c r="W68" s="133">
        <v>42660</v>
      </c>
      <c r="X68" s="10">
        <v>52.25</v>
      </c>
      <c r="Y68" s="10">
        <v>52.49</v>
      </c>
      <c r="Z68" s="10">
        <v>51.97</v>
      </c>
      <c r="AA68" s="10">
        <v>52.41</v>
      </c>
      <c r="AB68" s="95">
        <v>2958000</v>
      </c>
      <c r="AC68" s="10">
        <v>52.2</v>
      </c>
      <c r="AD68" s="2">
        <f>Y68-Z68</f>
        <v>0.52000000000000313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42755</v>
      </c>
      <c r="X2" s="10">
        <v>42.23</v>
      </c>
      <c r="Y2" s="10">
        <v>42.61</v>
      </c>
      <c r="Z2" s="10">
        <v>41.65</v>
      </c>
      <c r="AA2" s="10">
        <v>42.46</v>
      </c>
      <c r="AB2" s="95">
        <v>2363100</v>
      </c>
      <c r="AC2" s="10">
        <v>42.46</v>
      </c>
      <c r="AD2" s="2">
        <f>Y2-Z2</f>
        <v>0.96000000000000085</v>
      </c>
      <c r="AE2" s="138">
        <f>AC2/AC3-1</f>
        <v>1.023078753271478E-2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42.46</v>
      </c>
      <c r="T3" s="1">
        <v>42312</v>
      </c>
      <c r="U3" t="s">
        <v>149</v>
      </c>
      <c r="W3" s="133">
        <v>42754</v>
      </c>
      <c r="X3" s="10">
        <v>43.15</v>
      </c>
      <c r="Y3" s="10">
        <v>43.47</v>
      </c>
      <c r="Z3" s="10">
        <v>42.02</v>
      </c>
      <c r="AA3" s="10">
        <v>42.03</v>
      </c>
      <c r="AB3" s="95">
        <v>1935200</v>
      </c>
      <c r="AC3" s="10">
        <v>42.03</v>
      </c>
      <c r="AD3" s="2">
        <f t="shared" ref="AD3:AD66" si="0">Y3-Z3</f>
        <v>1.4499999999999957</v>
      </c>
      <c r="AE3" s="138">
        <f t="shared" ref="AE3:AE66" si="1">AC3/AC4-1</f>
        <v>-2.7758501040943684E-2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42.46</v>
      </c>
      <c r="R4" s="505">
        <v>1.0200000000000001E-2</v>
      </c>
      <c r="W4" s="133">
        <v>42753</v>
      </c>
      <c r="X4" s="10">
        <v>43.85</v>
      </c>
      <c r="Y4" s="10">
        <v>43.85</v>
      </c>
      <c r="Z4" s="10">
        <v>42.31</v>
      </c>
      <c r="AA4" s="10">
        <v>43.23</v>
      </c>
      <c r="AB4" s="95">
        <v>2159000</v>
      </c>
      <c r="AC4" s="10">
        <v>43.23</v>
      </c>
      <c r="AD4" s="2">
        <f t="shared" si="0"/>
        <v>1.5399999999999991</v>
      </c>
      <c r="AE4" s="138">
        <f t="shared" si="1"/>
        <v>-7.5757575757576801E-3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42.33</v>
      </c>
      <c r="Y5" s="10">
        <v>44.25</v>
      </c>
      <c r="Z5" s="10">
        <v>42.26</v>
      </c>
      <c r="AA5" s="10">
        <v>43.56</v>
      </c>
      <c r="AB5" s="95">
        <v>2291800</v>
      </c>
      <c r="AC5" s="10">
        <v>43.56</v>
      </c>
      <c r="AD5" s="2">
        <f t="shared" si="0"/>
        <v>1.990000000000002</v>
      </c>
      <c r="AE5" s="138">
        <f t="shared" si="1"/>
        <v>2.7600849256900206E-2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42.69</v>
      </c>
      <c r="Y6" s="10">
        <v>43.18</v>
      </c>
      <c r="Z6" s="10">
        <v>42.29</v>
      </c>
      <c r="AA6" s="10">
        <v>42.39</v>
      </c>
      <c r="AB6" s="95">
        <v>1359100</v>
      </c>
      <c r="AC6" s="10">
        <v>42.39</v>
      </c>
      <c r="AD6" s="2">
        <f t="shared" si="0"/>
        <v>0.89000000000000057</v>
      </c>
      <c r="AE6" s="138">
        <f t="shared" si="1"/>
        <v>-6.096131301289498E-3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42747</v>
      </c>
      <c r="X7" s="10">
        <v>42.67</v>
      </c>
      <c r="Y7" s="10">
        <v>43.2</v>
      </c>
      <c r="Z7" s="10">
        <v>42.51</v>
      </c>
      <c r="AA7" s="10">
        <v>42.65</v>
      </c>
      <c r="AB7" s="95">
        <v>1332900</v>
      </c>
      <c r="AC7" s="10">
        <v>42.65</v>
      </c>
      <c r="AD7" s="2">
        <f t="shared" si="0"/>
        <v>0.69000000000000483</v>
      </c>
      <c r="AE7" s="138">
        <f t="shared" si="1"/>
        <v>-5.1317937951947945E-3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43.72</v>
      </c>
      <c r="Y8" s="10">
        <v>43.72</v>
      </c>
      <c r="Z8" s="10">
        <v>42.75</v>
      </c>
      <c r="AA8" s="10">
        <v>42.87</v>
      </c>
      <c r="AB8" s="95">
        <v>2081700</v>
      </c>
      <c r="AC8" s="10">
        <v>42.87</v>
      </c>
      <c r="AD8" s="2">
        <f t="shared" si="0"/>
        <v>0.96999999999999886</v>
      </c>
      <c r="AE8" s="138">
        <f t="shared" si="1"/>
        <v>-1.1756569847856224E-2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42.04</v>
      </c>
      <c r="Y9" s="10">
        <v>43.88</v>
      </c>
      <c r="Z9" s="10">
        <v>42.04</v>
      </c>
      <c r="AA9" s="10">
        <v>43.38</v>
      </c>
      <c r="AB9" s="95">
        <v>2952300</v>
      </c>
      <c r="AC9" s="10">
        <v>43.38</v>
      </c>
      <c r="AD9" s="2">
        <f t="shared" si="0"/>
        <v>1.8400000000000034</v>
      </c>
      <c r="AE9" s="138">
        <f t="shared" si="1"/>
        <v>3.1874405328258915E-2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M35</f>
        <v>745.43999999999505</v>
      </c>
      <c r="W10" s="133">
        <v>42744</v>
      </c>
      <c r="X10" s="10">
        <v>42.44</v>
      </c>
      <c r="Y10" s="10">
        <v>42.56</v>
      </c>
      <c r="Z10" s="10">
        <v>41.85</v>
      </c>
      <c r="AA10" s="10">
        <v>42.04</v>
      </c>
      <c r="AB10" s="95">
        <v>2137700</v>
      </c>
      <c r="AC10" s="10">
        <v>42.04</v>
      </c>
      <c r="AD10" s="2">
        <f t="shared" si="0"/>
        <v>0.71000000000000085</v>
      </c>
      <c r="AE10" s="138">
        <f t="shared" si="1"/>
        <v>-1.0124793972215662E-2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42.18</v>
      </c>
      <c r="Y11" s="10">
        <v>42.76</v>
      </c>
      <c r="Z11" s="10">
        <v>42.12</v>
      </c>
      <c r="AA11" s="10">
        <v>42.47</v>
      </c>
      <c r="AB11" s="95">
        <v>2562300</v>
      </c>
      <c r="AC11" s="10">
        <v>42.47</v>
      </c>
      <c r="AD11" s="2">
        <f t="shared" si="0"/>
        <v>0.64000000000000057</v>
      </c>
      <c r="AE11" s="138">
        <f t="shared" si="1"/>
        <v>8.7885985748217266E-3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42.65</v>
      </c>
      <c r="Y12" s="10">
        <v>42.71</v>
      </c>
      <c r="Z12" s="10">
        <v>40.81</v>
      </c>
      <c r="AA12" s="10">
        <v>42.1</v>
      </c>
      <c r="AB12" s="95">
        <v>3695900</v>
      </c>
      <c r="AC12" s="10">
        <v>42.1</v>
      </c>
      <c r="AD12" s="2">
        <f t="shared" si="0"/>
        <v>1.8999999999999986</v>
      </c>
      <c r="AE12" s="138">
        <f t="shared" si="1"/>
        <v>-3.2183908045976928E-2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43.2</v>
      </c>
      <c r="Y13" s="10">
        <v>43.93</v>
      </c>
      <c r="Z13" s="10">
        <v>43.2</v>
      </c>
      <c r="AA13" s="10">
        <v>43.5</v>
      </c>
      <c r="AB13" s="95">
        <v>2141200</v>
      </c>
      <c r="AC13" s="10">
        <v>43.5</v>
      </c>
      <c r="AD13" s="2">
        <f t="shared" si="0"/>
        <v>0.72999999999999687</v>
      </c>
      <c r="AE13" s="138">
        <f t="shared" si="1"/>
        <v>9.7493036211699913E-3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42738</v>
      </c>
      <c r="X14" s="10">
        <v>42.78</v>
      </c>
      <c r="Y14" s="10">
        <v>43.45</v>
      </c>
      <c r="Z14" s="10">
        <v>42.1</v>
      </c>
      <c r="AA14" s="10">
        <v>43.08</v>
      </c>
      <c r="AB14" s="95">
        <v>1929500</v>
      </c>
      <c r="AC14" s="10">
        <v>43.08</v>
      </c>
      <c r="AD14" s="2">
        <f t="shared" si="0"/>
        <v>1.3500000000000014</v>
      </c>
      <c r="AE14" s="138">
        <f t="shared" si="1"/>
        <v>2.32666356444855E-3</v>
      </c>
    </row>
    <row r="15" spans="1:43" x14ac:dyDescent="0.25">
      <c r="W15" s="133">
        <v>42734</v>
      </c>
      <c r="X15" s="10">
        <v>42.78</v>
      </c>
      <c r="Y15" s="10">
        <v>43.2</v>
      </c>
      <c r="Z15" s="10">
        <v>42.67</v>
      </c>
      <c r="AA15" s="10">
        <v>42.98</v>
      </c>
      <c r="AB15" s="95">
        <v>1454800</v>
      </c>
      <c r="AC15" s="10">
        <v>42.98</v>
      </c>
      <c r="AD15" s="2">
        <f t="shared" si="0"/>
        <v>0.53000000000000114</v>
      </c>
      <c r="AE15" s="138">
        <f t="shared" si="1"/>
        <v>3.2679738562089167E-3</v>
      </c>
    </row>
    <row r="16" spans="1:43" x14ac:dyDescent="0.25">
      <c r="W16" s="133">
        <v>42733</v>
      </c>
      <c r="X16" s="10">
        <v>43.08</v>
      </c>
      <c r="Y16" s="10">
        <v>43.38</v>
      </c>
      <c r="Z16" s="10">
        <v>42.45</v>
      </c>
      <c r="AA16" s="10">
        <v>42.84</v>
      </c>
      <c r="AB16" s="95">
        <v>1232600</v>
      </c>
      <c r="AC16" s="10">
        <v>42.84</v>
      </c>
      <c r="AD16" s="2">
        <f t="shared" si="0"/>
        <v>0.92999999999999972</v>
      </c>
      <c r="AE16" s="138">
        <f t="shared" si="1"/>
        <v>-6.9541029207231819E-3</v>
      </c>
    </row>
    <row r="17" spans="1:31" x14ac:dyDescent="0.25">
      <c r="B17" s="1"/>
      <c r="C17" s="4"/>
      <c r="W17" s="133">
        <v>42732</v>
      </c>
      <c r="X17" s="10">
        <v>43.06</v>
      </c>
      <c r="Y17" s="10">
        <v>43.33</v>
      </c>
      <c r="Z17" s="10">
        <v>41.95</v>
      </c>
      <c r="AA17" s="10">
        <v>43.14</v>
      </c>
      <c r="AB17" s="95">
        <v>2247500</v>
      </c>
      <c r="AC17" s="10">
        <v>43.14</v>
      </c>
      <c r="AD17" s="2">
        <f t="shared" si="0"/>
        <v>1.3799999999999955</v>
      </c>
      <c r="AE17" s="138">
        <f t="shared" si="1"/>
        <v>5.1258154706430581E-3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42731</v>
      </c>
      <c r="X18" s="10">
        <v>42.48</v>
      </c>
      <c r="Y18" s="10">
        <v>43.6</v>
      </c>
      <c r="Z18" s="10">
        <v>42.34</v>
      </c>
      <c r="AA18" s="10">
        <v>42.92</v>
      </c>
      <c r="AB18" s="95">
        <v>1204700</v>
      </c>
      <c r="AC18" s="10">
        <v>42.92</v>
      </c>
      <c r="AD18" s="2">
        <f t="shared" si="0"/>
        <v>1.259999999999998</v>
      </c>
      <c r="AE18" s="138">
        <f t="shared" si="1"/>
        <v>1.8674136321195078E-3</v>
      </c>
    </row>
    <row r="19" spans="1:31" x14ac:dyDescent="0.25">
      <c r="G19" s="2"/>
      <c r="W19" s="133">
        <v>42727</v>
      </c>
      <c r="X19" s="10">
        <v>42.81</v>
      </c>
      <c r="Y19" s="10">
        <v>43.56</v>
      </c>
      <c r="Z19" s="10">
        <v>42.59</v>
      </c>
      <c r="AA19" s="10">
        <v>42.84</v>
      </c>
      <c r="AB19" s="95">
        <v>1407700</v>
      </c>
      <c r="AC19" s="10">
        <v>42.84</v>
      </c>
      <c r="AD19" s="2">
        <f t="shared" si="0"/>
        <v>0.96999999999999886</v>
      </c>
      <c r="AE19" s="138">
        <f t="shared" si="1"/>
        <v>2.1052631578948322E-3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44.02</v>
      </c>
      <c r="Y20" s="10">
        <v>44.25</v>
      </c>
      <c r="Z20" s="10">
        <v>42.64</v>
      </c>
      <c r="AA20" s="10">
        <v>42.75</v>
      </c>
      <c r="AB20" s="95">
        <v>3058600</v>
      </c>
      <c r="AC20" s="10">
        <v>42.75</v>
      </c>
      <c r="AD20" s="2">
        <f t="shared" si="0"/>
        <v>1.6099999999999994</v>
      </c>
      <c r="AE20" s="138">
        <f t="shared" si="1"/>
        <v>-3.3024202669079461E-2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42725</v>
      </c>
      <c r="X21" s="10">
        <v>44.37</v>
      </c>
      <c r="Y21" s="10">
        <v>44.4</v>
      </c>
      <c r="Z21" s="10">
        <v>43.55</v>
      </c>
      <c r="AA21" s="10">
        <v>44.21</v>
      </c>
      <c r="AB21" s="95">
        <v>1932200</v>
      </c>
      <c r="AC21" s="10">
        <v>44.21</v>
      </c>
      <c r="AD21" s="2">
        <f t="shared" si="0"/>
        <v>0.85000000000000142</v>
      </c>
      <c r="AE21" s="138">
        <f t="shared" si="1"/>
        <v>-1.1296882060550795E-3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42724</v>
      </c>
      <c r="X22" s="10">
        <v>44.94</v>
      </c>
      <c r="Y22" s="10">
        <v>45</v>
      </c>
      <c r="Z22" s="10">
        <v>43.87</v>
      </c>
      <c r="AA22" s="10">
        <v>44.26</v>
      </c>
      <c r="AB22" s="95">
        <v>2391300</v>
      </c>
      <c r="AC22" s="10">
        <v>44.26</v>
      </c>
      <c r="AD22" s="2">
        <f t="shared" si="0"/>
        <v>1.1300000000000026</v>
      </c>
      <c r="AE22" s="138">
        <f t="shared" si="1"/>
        <v>-1.3154960981047958E-2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42723</v>
      </c>
      <c r="X23" s="10">
        <v>45.22</v>
      </c>
      <c r="Y23" s="10">
        <v>45.83</v>
      </c>
      <c r="Z23" s="10">
        <v>44.64</v>
      </c>
      <c r="AA23" s="10">
        <v>44.85</v>
      </c>
      <c r="AB23" s="95">
        <v>2028900</v>
      </c>
      <c r="AC23" s="10">
        <v>44.85</v>
      </c>
      <c r="AD23" s="2">
        <f t="shared" si="0"/>
        <v>1.1899999999999977</v>
      </c>
      <c r="AE23" s="138">
        <f t="shared" si="1"/>
        <v>-7.9628400796284415E-3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42720</v>
      </c>
      <c r="X24" s="10">
        <v>46.13</v>
      </c>
      <c r="Y24" s="10">
        <v>46.43</v>
      </c>
      <c r="Z24" s="10">
        <v>45.04</v>
      </c>
      <c r="AA24" s="10">
        <v>45.21</v>
      </c>
      <c r="AB24" s="95">
        <v>3697500</v>
      </c>
      <c r="AC24" s="10">
        <v>45.21</v>
      </c>
      <c r="AD24" s="2">
        <f t="shared" si="0"/>
        <v>1.3900000000000006</v>
      </c>
      <c r="AE24" s="138">
        <f t="shared" si="1"/>
        <v>-1.7387524451206171E-2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42719</v>
      </c>
      <c r="X25" s="10">
        <v>47.3</v>
      </c>
      <c r="Y25" s="10">
        <v>47.36</v>
      </c>
      <c r="Z25" s="10">
        <v>45.51</v>
      </c>
      <c r="AA25" s="10">
        <v>46.01</v>
      </c>
      <c r="AB25" s="95">
        <v>2902300</v>
      </c>
      <c r="AC25" s="10">
        <v>46.01</v>
      </c>
      <c r="AD25" s="2">
        <f t="shared" si="0"/>
        <v>1.8500000000000014</v>
      </c>
      <c r="AE25" s="138">
        <f t="shared" si="1"/>
        <v>-2.7272727272727226E-2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42718</v>
      </c>
      <c r="X26" s="10">
        <v>47.85</v>
      </c>
      <c r="Y26" s="10">
        <v>48.95</v>
      </c>
      <c r="Z26" s="10">
        <v>47.21</v>
      </c>
      <c r="AA26" s="10">
        <v>47.3</v>
      </c>
      <c r="AB26" s="95">
        <v>1753200</v>
      </c>
      <c r="AC26" s="10">
        <v>47.3</v>
      </c>
      <c r="AD26" s="2">
        <f t="shared" si="0"/>
        <v>1.740000000000002</v>
      </c>
      <c r="AE26" s="138">
        <f t="shared" si="1"/>
        <v>-1.211361737677541E-2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42717</v>
      </c>
      <c r="X27" s="10">
        <v>47.93</v>
      </c>
      <c r="Y27" s="10">
        <v>48.44</v>
      </c>
      <c r="Z27" s="10">
        <v>47.55</v>
      </c>
      <c r="AA27" s="10">
        <v>47.88</v>
      </c>
      <c r="AB27" s="95">
        <v>1664200</v>
      </c>
      <c r="AC27" s="10">
        <v>47.88</v>
      </c>
      <c r="AD27" s="2">
        <f t="shared" si="0"/>
        <v>0.89000000000000057</v>
      </c>
      <c r="AE27" s="138">
        <f t="shared" si="1"/>
        <v>2.0889910173393922E-4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42716</v>
      </c>
      <c r="X28" s="10">
        <v>49.17</v>
      </c>
      <c r="Y28" s="10">
        <v>49.25</v>
      </c>
      <c r="Z28" s="10">
        <v>47.49</v>
      </c>
      <c r="AA28" s="10">
        <v>47.87</v>
      </c>
      <c r="AB28" s="95">
        <v>2493500</v>
      </c>
      <c r="AC28" s="10">
        <v>47.87</v>
      </c>
      <c r="AD28" s="2">
        <f t="shared" si="0"/>
        <v>1.759999999999998</v>
      </c>
      <c r="AE28" s="138">
        <f t="shared" si="1"/>
        <v>-3.0186385737439259E-2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42713</v>
      </c>
      <c r="X29" s="10">
        <v>50.8</v>
      </c>
      <c r="Y29" s="10">
        <v>51.42</v>
      </c>
      <c r="Z29" s="10">
        <v>49.19</v>
      </c>
      <c r="AA29" s="10">
        <v>49.36</v>
      </c>
      <c r="AB29" s="95">
        <v>1868800</v>
      </c>
      <c r="AC29" s="10">
        <v>49.36</v>
      </c>
      <c r="AD29" s="2">
        <f t="shared" si="0"/>
        <v>2.230000000000004</v>
      </c>
      <c r="AE29" s="138">
        <f t="shared" si="1"/>
        <v>-2.4698676150958332E-2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42712</v>
      </c>
      <c r="X30" s="10">
        <v>49.11</v>
      </c>
      <c r="Y30" s="10">
        <v>51.06</v>
      </c>
      <c r="Z30" s="10">
        <v>48.99</v>
      </c>
      <c r="AA30" s="10">
        <v>50.61</v>
      </c>
      <c r="AB30" s="95">
        <v>3628700</v>
      </c>
      <c r="AC30" s="10">
        <v>50.61</v>
      </c>
      <c r="AD30" s="2">
        <f t="shared" si="0"/>
        <v>2.0700000000000003</v>
      </c>
      <c r="AE30" s="138">
        <f t="shared" si="1"/>
        <v>3.4757718258024983E-2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42711</v>
      </c>
      <c r="X31" s="10">
        <v>48.06</v>
      </c>
      <c r="Y31" s="10">
        <v>48.94</v>
      </c>
      <c r="Z31" s="10">
        <v>47.84</v>
      </c>
      <c r="AA31" s="10">
        <v>48.91</v>
      </c>
      <c r="AB31" s="95">
        <v>2036900</v>
      </c>
      <c r="AC31" s="10">
        <v>48.91</v>
      </c>
      <c r="AD31" s="2">
        <f t="shared" si="0"/>
        <v>1.0999999999999943</v>
      </c>
      <c r="AE31" s="138">
        <f t="shared" si="1"/>
        <v>1.1163944593756359E-2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42710</v>
      </c>
      <c r="X32" s="10">
        <v>48.3</v>
      </c>
      <c r="Y32" s="10">
        <v>48.53</v>
      </c>
      <c r="Z32" s="10">
        <v>47.91</v>
      </c>
      <c r="AA32" s="10">
        <v>48.37</v>
      </c>
      <c r="AB32" s="95">
        <v>1975800</v>
      </c>
      <c r="AC32" s="10">
        <v>48.37</v>
      </c>
      <c r="AD32" s="2">
        <f t="shared" si="0"/>
        <v>0.62000000000000455</v>
      </c>
      <c r="AE32" s="138">
        <f t="shared" si="1"/>
        <v>-2.06313183412421E-3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42709</v>
      </c>
      <c r="X33" s="10">
        <v>46.55</v>
      </c>
      <c r="Y33" s="10">
        <v>48.5</v>
      </c>
      <c r="Z33" s="10">
        <v>46.31</v>
      </c>
      <c r="AA33" s="10">
        <v>48.47</v>
      </c>
      <c r="AB33" s="95">
        <v>3010800</v>
      </c>
      <c r="AC33" s="10">
        <v>48.47</v>
      </c>
      <c r="AD33" s="2">
        <f t="shared" si="0"/>
        <v>2.1899999999999977</v>
      </c>
      <c r="AE33" s="138">
        <f t="shared" si="1"/>
        <v>4.9134199134199141E-2</v>
      </c>
    </row>
    <row r="34" spans="1:31" x14ac:dyDescent="0.25">
      <c r="W34" s="133">
        <v>42706</v>
      </c>
      <c r="X34" s="10">
        <v>46.32</v>
      </c>
      <c r="Y34" s="10">
        <v>46.53</v>
      </c>
      <c r="Z34" s="10">
        <v>46.03</v>
      </c>
      <c r="AA34" s="10">
        <v>46.2</v>
      </c>
      <c r="AB34" s="95">
        <v>1951200</v>
      </c>
      <c r="AC34" s="10">
        <v>46.2</v>
      </c>
      <c r="AD34" s="2">
        <f t="shared" si="0"/>
        <v>0.5</v>
      </c>
      <c r="AE34" s="138">
        <f t="shared" si="1"/>
        <v>-6.4892926670978568E-4</v>
      </c>
    </row>
    <row r="35" spans="1:31" x14ac:dyDescent="0.25">
      <c r="L35" t="s">
        <v>214</v>
      </c>
      <c r="M35" s="2">
        <f>M51+K51-F51</f>
        <v>745.43999999999505</v>
      </c>
      <c r="W35" s="133">
        <v>42705</v>
      </c>
      <c r="X35" s="10">
        <v>46.5</v>
      </c>
      <c r="Y35" s="10">
        <v>47.2</v>
      </c>
      <c r="Z35" s="10">
        <v>45.8</v>
      </c>
      <c r="AA35" s="10">
        <v>46.23</v>
      </c>
      <c r="AB35" s="95">
        <v>2461500</v>
      </c>
      <c r="AC35" s="10">
        <v>46.23</v>
      </c>
      <c r="AD35" s="2">
        <f t="shared" si="0"/>
        <v>1.4000000000000057</v>
      </c>
      <c r="AE35" s="138">
        <f t="shared" si="1"/>
        <v>-5.5926005592601413E-3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47.56</v>
      </c>
      <c r="Y36" s="10">
        <v>47.74</v>
      </c>
      <c r="Z36" s="10">
        <v>46.4</v>
      </c>
      <c r="AA36" s="10">
        <v>46.49</v>
      </c>
      <c r="AB36" s="95">
        <v>3004400</v>
      </c>
      <c r="AC36" s="10">
        <v>46.49</v>
      </c>
      <c r="AD36" s="2">
        <f t="shared" si="0"/>
        <v>1.3400000000000034</v>
      </c>
      <c r="AE36" s="138">
        <f t="shared" si="1"/>
        <v>-2.557115908614549E-2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42703</v>
      </c>
      <c r="X37" s="10">
        <v>48.29</v>
      </c>
      <c r="Y37" s="10">
        <v>48.66</v>
      </c>
      <c r="Z37" s="10">
        <v>47.67</v>
      </c>
      <c r="AA37" s="10">
        <v>47.71</v>
      </c>
      <c r="AB37" s="95">
        <v>1575500</v>
      </c>
      <c r="AC37" s="10">
        <v>47.71</v>
      </c>
      <c r="AD37" s="2">
        <f t="shared" si="0"/>
        <v>0.98999999999999488</v>
      </c>
      <c r="AE37" s="138">
        <f t="shared" si="1"/>
        <v>-6.662502602540088E-3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42702</v>
      </c>
      <c r="X38" s="10">
        <v>48.72</v>
      </c>
      <c r="Y38" s="10">
        <v>48.75</v>
      </c>
      <c r="Z38" s="10">
        <v>47.57</v>
      </c>
      <c r="AA38" s="10">
        <v>48.03</v>
      </c>
      <c r="AB38" s="95">
        <v>1977100</v>
      </c>
      <c r="AC38" s="10">
        <v>48.03</v>
      </c>
      <c r="AD38" s="2">
        <f t="shared" si="0"/>
        <v>1.1799999999999997</v>
      </c>
      <c r="AE38" s="138">
        <f t="shared" si="1"/>
        <v>-1.7992230627683403E-2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42699</v>
      </c>
      <c r="X39" s="10">
        <v>48.93</v>
      </c>
      <c r="Y39" s="10">
        <v>49.94</v>
      </c>
      <c r="Z39" s="10">
        <v>48.68</v>
      </c>
      <c r="AA39" s="10">
        <v>48.91</v>
      </c>
      <c r="AB39" s="95">
        <v>1095300</v>
      </c>
      <c r="AC39" s="10">
        <v>48.91</v>
      </c>
      <c r="AD39" s="2">
        <f t="shared" si="0"/>
        <v>1.259999999999998</v>
      </c>
      <c r="AE39" s="138">
        <f t="shared" si="1"/>
        <v>6.5857172257663965E-3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42697</v>
      </c>
      <c r="X40" s="10">
        <v>48.25</v>
      </c>
      <c r="Y40" s="10">
        <v>48.62</v>
      </c>
      <c r="Z40" s="10">
        <v>48.01</v>
      </c>
      <c r="AA40" s="10">
        <v>48.59</v>
      </c>
      <c r="AB40" s="95">
        <v>2047900</v>
      </c>
      <c r="AC40" s="10">
        <v>48.59</v>
      </c>
      <c r="AD40" s="2">
        <f t="shared" si="0"/>
        <v>0.60999999999999943</v>
      </c>
      <c r="AE40" s="138">
        <f t="shared" si="1"/>
        <v>6.6293764242801867E-3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42696</v>
      </c>
      <c r="X41" s="10">
        <v>48.25</v>
      </c>
      <c r="Y41" s="10">
        <v>49.56</v>
      </c>
      <c r="Z41" s="10">
        <v>48</v>
      </c>
      <c r="AA41" s="10">
        <v>48.27</v>
      </c>
      <c r="AB41" s="95">
        <v>3847000</v>
      </c>
      <c r="AC41" s="10">
        <v>48.27</v>
      </c>
      <c r="AD41" s="2">
        <f t="shared" si="0"/>
        <v>1.5600000000000023</v>
      </c>
      <c r="AE41" s="138">
        <f t="shared" si="1"/>
        <v>2.7004570004154349E-3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42695</v>
      </c>
      <c r="X42" s="10">
        <v>47.75</v>
      </c>
      <c r="Y42" s="10">
        <v>48.49</v>
      </c>
      <c r="Z42" s="10">
        <v>47.46</v>
      </c>
      <c r="AA42" s="10">
        <v>48.14</v>
      </c>
      <c r="AB42" s="95">
        <v>2355100</v>
      </c>
      <c r="AC42" s="10">
        <v>48.14</v>
      </c>
      <c r="AD42" s="2">
        <f t="shared" si="0"/>
        <v>1.0300000000000011</v>
      </c>
      <c r="AE42" s="138">
        <f t="shared" si="1"/>
        <v>1.1982341812066366E-2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46.706000000000003</v>
      </c>
      <c r="T43" s="128" t="s">
        <v>98</v>
      </c>
      <c r="U43" s="98">
        <v>42.03</v>
      </c>
      <c r="W43" s="133">
        <v>42692</v>
      </c>
      <c r="X43" s="10">
        <v>48.43</v>
      </c>
      <c r="Y43" s="10">
        <v>48.46</v>
      </c>
      <c r="Z43" s="10">
        <v>47.5</v>
      </c>
      <c r="AA43" s="10">
        <v>47.57</v>
      </c>
      <c r="AB43" s="95">
        <v>2306100</v>
      </c>
      <c r="AC43" s="10">
        <v>47.57</v>
      </c>
      <c r="AD43" s="2">
        <f t="shared" si="0"/>
        <v>0.96000000000000085</v>
      </c>
      <c r="AE43" s="138">
        <f t="shared" si="1"/>
        <v>-2.0588840848260292E-2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46.281400000000005</v>
      </c>
      <c r="T44" s="93" t="s">
        <v>99</v>
      </c>
      <c r="U44" s="88">
        <v>42.23</v>
      </c>
      <c r="W44" s="133">
        <v>42691</v>
      </c>
      <c r="X44" s="10">
        <v>47.68</v>
      </c>
      <c r="Y44" s="10">
        <v>48.93</v>
      </c>
      <c r="Z44" s="10">
        <v>47.52</v>
      </c>
      <c r="AA44" s="10">
        <v>48.57</v>
      </c>
      <c r="AB44" s="95">
        <v>3418500</v>
      </c>
      <c r="AC44" s="10">
        <v>48.57</v>
      </c>
      <c r="AD44" s="2">
        <f t="shared" si="0"/>
        <v>1.4099999999999966</v>
      </c>
      <c r="AE44" s="138">
        <f t="shared" si="1"/>
        <v>2.2311092401599675E-2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45.856800000000007</v>
      </c>
      <c r="R45" s="34"/>
      <c r="T45" s="93" t="s">
        <v>100</v>
      </c>
      <c r="U45" s="88" t="s">
        <v>129</v>
      </c>
      <c r="W45" s="133">
        <v>42690</v>
      </c>
      <c r="X45" s="10">
        <v>46.97</v>
      </c>
      <c r="Y45" s="10">
        <v>47.85</v>
      </c>
      <c r="Z45" s="10">
        <v>46.76</v>
      </c>
      <c r="AA45" s="10">
        <v>47.51</v>
      </c>
      <c r="AB45" s="95">
        <v>2639100</v>
      </c>
      <c r="AC45" s="10">
        <v>47.51</v>
      </c>
      <c r="AD45" s="2">
        <f t="shared" si="0"/>
        <v>1.0900000000000034</v>
      </c>
      <c r="AE45" s="138">
        <f t="shared" si="1"/>
        <v>1.3006396588486124E-2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45.432200000000002</v>
      </c>
      <c r="Q46" s="34"/>
      <c r="R46" s="34"/>
      <c r="T46" s="93" t="s">
        <v>101</v>
      </c>
      <c r="U46" s="88" t="s">
        <v>129</v>
      </c>
      <c r="W46" s="133">
        <v>42689</v>
      </c>
      <c r="X46" s="10">
        <v>47.25</v>
      </c>
      <c r="Y46" s="10">
        <v>47.46</v>
      </c>
      <c r="Z46" s="10">
        <v>46.12</v>
      </c>
      <c r="AA46" s="10">
        <v>46.9</v>
      </c>
      <c r="AB46" s="95">
        <v>4164800</v>
      </c>
      <c r="AC46" s="10">
        <v>46.9</v>
      </c>
      <c r="AD46" s="2">
        <f t="shared" si="0"/>
        <v>1.3400000000000034</v>
      </c>
      <c r="AE46" s="138">
        <f t="shared" si="1"/>
        <v>-5.5131467345207463E-3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45.007600000000004</v>
      </c>
      <c r="Q47" s="34"/>
      <c r="R47" s="34"/>
      <c r="T47" s="93" t="s">
        <v>102</v>
      </c>
      <c r="U47" s="88">
        <v>52.33</v>
      </c>
      <c r="W47" s="133">
        <v>42688</v>
      </c>
      <c r="X47" s="10">
        <v>49.43</v>
      </c>
      <c r="Y47" s="10">
        <v>50.2</v>
      </c>
      <c r="Z47" s="10">
        <v>47.01</v>
      </c>
      <c r="AA47" s="10">
        <v>47.16</v>
      </c>
      <c r="AB47" s="95">
        <v>6778200</v>
      </c>
      <c r="AC47" s="10">
        <v>47.16</v>
      </c>
      <c r="AD47" s="2">
        <f t="shared" si="0"/>
        <v>3.1900000000000048</v>
      </c>
      <c r="AE47" s="138">
        <f t="shared" si="1"/>
        <v>-5.1106639839034296E-2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44.583000000000006</v>
      </c>
      <c r="Q48" s="34"/>
      <c r="R48" s="34"/>
      <c r="T48" s="93" t="s">
        <v>103</v>
      </c>
      <c r="U48" s="88">
        <v>-3.0120999999999998E-2</v>
      </c>
      <c r="W48" s="133">
        <v>42685</v>
      </c>
      <c r="X48" s="10">
        <v>49.3</v>
      </c>
      <c r="Y48" s="10">
        <v>51</v>
      </c>
      <c r="Z48" s="10">
        <v>46.57</v>
      </c>
      <c r="AA48" s="10">
        <v>49.7</v>
      </c>
      <c r="AB48" s="95">
        <v>15547100</v>
      </c>
      <c r="AC48" s="10">
        <v>49.7</v>
      </c>
      <c r="AD48" s="2">
        <f t="shared" si="0"/>
        <v>4.43</v>
      </c>
      <c r="AE48" s="138">
        <f t="shared" si="1"/>
        <v>-3.9799072642967448E-2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44.1584</v>
      </c>
      <c r="Q49" s="34"/>
      <c r="R49" s="34"/>
      <c r="T49" s="93" t="s">
        <v>104</v>
      </c>
      <c r="U49" s="88" t="s">
        <v>449</v>
      </c>
      <c r="W49" s="133">
        <v>42684</v>
      </c>
      <c r="X49" s="10">
        <v>51.06</v>
      </c>
      <c r="Y49" s="10">
        <v>52.33</v>
      </c>
      <c r="Z49" s="10">
        <v>50.76</v>
      </c>
      <c r="AA49" s="10">
        <v>51.76</v>
      </c>
      <c r="AB49" s="95">
        <v>4559500</v>
      </c>
      <c r="AC49" s="10">
        <v>51.76</v>
      </c>
      <c r="AD49" s="2">
        <f t="shared" si="0"/>
        <v>1.5700000000000003</v>
      </c>
      <c r="AE49" s="138">
        <f t="shared" si="1"/>
        <v>3.1486648066958889E-2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43.733800000000002</v>
      </c>
      <c r="Q50" s="83"/>
      <c r="R50" s="34"/>
      <c r="T50" s="93"/>
      <c r="U50" s="88"/>
      <c r="W50" s="133">
        <v>42683</v>
      </c>
      <c r="X50" s="10">
        <v>49.56</v>
      </c>
      <c r="Y50" s="10">
        <v>50.82</v>
      </c>
      <c r="Z50" s="10">
        <v>48.94</v>
      </c>
      <c r="AA50" s="10">
        <v>50.18</v>
      </c>
      <c r="AB50" s="95">
        <v>2958100</v>
      </c>
      <c r="AC50" s="10">
        <v>50.18</v>
      </c>
      <c r="AD50" s="2">
        <f t="shared" si="0"/>
        <v>1.8800000000000026</v>
      </c>
      <c r="AE50" s="138">
        <f t="shared" si="1"/>
        <v>-2.782193958664525E-3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43.309200000000004</v>
      </c>
      <c r="Q51" s="83"/>
      <c r="R51" s="34"/>
      <c r="T51" s="93" t="s">
        <v>105</v>
      </c>
      <c r="U51" s="88" t="s">
        <v>562</v>
      </c>
      <c r="W51" s="133">
        <v>42682</v>
      </c>
      <c r="X51" s="10">
        <v>50.26</v>
      </c>
      <c r="Y51" s="10">
        <v>51.04</v>
      </c>
      <c r="Z51" s="10">
        <v>49.95</v>
      </c>
      <c r="AA51" s="10">
        <v>50.32</v>
      </c>
      <c r="AB51" s="95">
        <v>2414200</v>
      </c>
      <c r="AC51" s="10">
        <v>50.32</v>
      </c>
      <c r="AD51" s="2">
        <f t="shared" si="0"/>
        <v>1.0899999999999963</v>
      </c>
      <c r="AE51" s="138">
        <f t="shared" si="1"/>
        <v>3.9761431411533543E-4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42.884599999999999</v>
      </c>
      <c r="Q52" s="83"/>
      <c r="R52" s="34"/>
      <c r="T52" s="93" t="s">
        <v>106</v>
      </c>
      <c r="U52" s="88" t="s">
        <v>563</v>
      </c>
      <c r="W52" s="133">
        <v>42681</v>
      </c>
      <c r="X52" s="10">
        <v>49.87</v>
      </c>
      <c r="Y52" s="10">
        <v>51.77</v>
      </c>
      <c r="Z52" s="10">
        <v>49.64</v>
      </c>
      <c r="AA52" s="10">
        <v>50.3</v>
      </c>
      <c r="AB52" s="95">
        <v>3848600</v>
      </c>
      <c r="AC52" s="10">
        <v>50.3</v>
      </c>
      <c r="AD52" s="2">
        <f t="shared" si="0"/>
        <v>2.1300000000000026</v>
      </c>
      <c r="AE52" s="138">
        <f t="shared" si="1"/>
        <v>2.4648604603788815E-2</v>
      </c>
    </row>
    <row r="53" spans="1:31" x14ac:dyDescent="0.25">
      <c r="O53" s="83">
        <v>1</v>
      </c>
      <c r="P53" s="83">
        <f t="shared" si="7"/>
        <v>42.46</v>
      </c>
      <c r="Q53" s="83"/>
      <c r="R53" s="34"/>
      <c r="T53" s="93" t="s">
        <v>107</v>
      </c>
      <c r="U53" s="90">
        <v>2378286</v>
      </c>
      <c r="W53" s="133">
        <v>42678</v>
      </c>
      <c r="X53" s="10">
        <v>48.28</v>
      </c>
      <c r="Y53" s="10">
        <v>49.99</v>
      </c>
      <c r="Z53" s="10">
        <v>48.25</v>
      </c>
      <c r="AA53" s="10">
        <v>49.09</v>
      </c>
      <c r="AB53" s="95">
        <v>2533500</v>
      </c>
      <c r="AC53" s="10">
        <v>49.09</v>
      </c>
      <c r="AD53" s="2">
        <f t="shared" si="0"/>
        <v>1.740000000000002</v>
      </c>
      <c r="AE53" s="138">
        <f t="shared" si="1"/>
        <v>1.7620232172470995E-2</v>
      </c>
    </row>
    <row r="54" spans="1:31" x14ac:dyDescent="0.25">
      <c r="O54" s="83">
        <v>0.99</v>
      </c>
      <c r="P54" s="83">
        <f t="shared" si="7"/>
        <v>42.035400000000003</v>
      </c>
      <c r="Q54" s="83"/>
      <c r="R54" s="34"/>
      <c r="T54" s="93" t="s">
        <v>110</v>
      </c>
      <c r="U54" s="90">
        <v>2747310</v>
      </c>
      <c r="W54" s="133">
        <v>42677</v>
      </c>
      <c r="X54" s="10">
        <v>49.75</v>
      </c>
      <c r="Y54" s="10">
        <v>49.85</v>
      </c>
      <c r="Z54" s="10">
        <v>48.01</v>
      </c>
      <c r="AA54" s="10">
        <v>48.24</v>
      </c>
      <c r="AB54" s="95">
        <v>2962500</v>
      </c>
      <c r="AC54" s="10">
        <v>48.24</v>
      </c>
      <c r="AD54" s="2">
        <f t="shared" si="0"/>
        <v>1.8400000000000034</v>
      </c>
      <c r="AE54" s="138">
        <f t="shared" si="1"/>
        <v>-2.9961793685903793E-2</v>
      </c>
    </row>
    <row r="55" spans="1:31" x14ac:dyDescent="0.25">
      <c r="O55" s="83">
        <v>0.98</v>
      </c>
      <c r="P55" s="83">
        <f t="shared" si="7"/>
        <v>41.610799999999998</v>
      </c>
      <c r="Q55" s="83"/>
      <c r="R55" s="34"/>
      <c r="T55" s="93" t="s">
        <v>108</v>
      </c>
      <c r="U55" s="88" t="s">
        <v>564</v>
      </c>
      <c r="W55" s="133">
        <v>42676</v>
      </c>
      <c r="X55" s="10">
        <v>49.99</v>
      </c>
      <c r="Y55" s="10">
        <v>51.18</v>
      </c>
      <c r="Z55" s="10">
        <v>49.57</v>
      </c>
      <c r="AA55" s="10">
        <v>49.73</v>
      </c>
      <c r="AB55" s="95">
        <v>2523000</v>
      </c>
      <c r="AC55" s="10">
        <v>49.73</v>
      </c>
      <c r="AD55" s="2">
        <f t="shared" si="0"/>
        <v>1.6099999999999994</v>
      </c>
      <c r="AE55" s="138">
        <f t="shared" si="1"/>
        <v>-1.2705975779233714E-2</v>
      </c>
    </row>
    <row r="56" spans="1:31" x14ac:dyDescent="0.25">
      <c r="O56" s="83">
        <v>0.97</v>
      </c>
      <c r="P56" s="83">
        <f t="shared" si="7"/>
        <v>41.186199999999999</v>
      </c>
      <c r="Q56" s="83"/>
      <c r="R56" s="34"/>
      <c r="T56" s="93" t="s">
        <v>111</v>
      </c>
      <c r="U56" s="88">
        <v>9.68</v>
      </c>
      <c r="W56" s="133">
        <v>42675</v>
      </c>
      <c r="X56" s="10">
        <v>50.95</v>
      </c>
      <c r="Y56" s="10">
        <v>52.67</v>
      </c>
      <c r="Z56" s="10">
        <v>50.12</v>
      </c>
      <c r="AA56" s="10">
        <v>50.37</v>
      </c>
      <c r="AB56" s="95">
        <v>4161900</v>
      </c>
      <c r="AC56" s="10">
        <v>50.37</v>
      </c>
      <c r="AD56" s="2">
        <f t="shared" si="0"/>
        <v>2.5500000000000043</v>
      </c>
      <c r="AE56" s="138">
        <f t="shared" si="1"/>
        <v>-8.0740448995668679E-3</v>
      </c>
    </row>
    <row r="57" spans="1:31" x14ac:dyDescent="0.25">
      <c r="O57" s="83">
        <v>0.96</v>
      </c>
      <c r="P57" s="83">
        <f t="shared" si="7"/>
        <v>40.761600000000001</v>
      </c>
      <c r="Q57" s="83"/>
      <c r="R57" s="34"/>
      <c r="T57" s="93" t="s">
        <v>112</v>
      </c>
      <c r="U57" s="88">
        <v>4.3899999999999997</v>
      </c>
      <c r="W57" s="133">
        <v>42674</v>
      </c>
      <c r="X57" s="10">
        <v>50.23</v>
      </c>
      <c r="Y57" s="10">
        <v>51.28</v>
      </c>
      <c r="Z57" s="10">
        <v>50.01</v>
      </c>
      <c r="AA57" s="10">
        <v>50.78</v>
      </c>
      <c r="AB57" s="95">
        <v>3686800</v>
      </c>
      <c r="AC57" s="10">
        <v>50.78</v>
      </c>
      <c r="AD57" s="2">
        <f t="shared" si="0"/>
        <v>1.2700000000000031</v>
      </c>
      <c r="AE57" s="138">
        <f t="shared" si="1"/>
        <v>1.3168395849960213E-2</v>
      </c>
    </row>
    <row r="58" spans="1:31" x14ac:dyDescent="0.25">
      <c r="O58" s="83">
        <v>0.95</v>
      </c>
      <c r="P58" s="83">
        <f t="shared" si="7"/>
        <v>40.336999999999996</v>
      </c>
      <c r="Q58" s="83"/>
      <c r="R58" s="34"/>
      <c r="T58" s="93" t="s">
        <v>109</v>
      </c>
      <c r="U58" s="88" t="s">
        <v>123</v>
      </c>
      <c r="W58" s="133">
        <v>42671</v>
      </c>
      <c r="X58" s="10">
        <v>48.21</v>
      </c>
      <c r="Y58" s="10">
        <v>50.88</v>
      </c>
      <c r="Z58" s="10">
        <v>48.15</v>
      </c>
      <c r="AA58" s="10">
        <v>50.12</v>
      </c>
      <c r="AB58" s="95">
        <v>5553100</v>
      </c>
      <c r="AC58" s="10">
        <v>50.12</v>
      </c>
      <c r="AD58" s="2">
        <f t="shared" si="0"/>
        <v>2.730000000000004</v>
      </c>
      <c r="AE58" s="138">
        <f t="shared" si="1"/>
        <v>4.0481627569026291E-2</v>
      </c>
    </row>
    <row r="59" spans="1:31" x14ac:dyDescent="0.25">
      <c r="O59" s="83">
        <v>0.94</v>
      </c>
      <c r="P59" s="83">
        <f t="shared" si="7"/>
        <v>39.912399999999998</v>
      </c>
      <c r="Q59" s="83"/>
      <c r="W59" s="133">
        <v>42670</v>
      </c>
      <c r="X59" s="10">
        <v>48.77</v>
      </c>
      <c r="Y59" s="10">
        <v>49.04</v>
      </c>
      <c r="Z59" s="10">
        <v>47.97</v>
      </c>
      <c r="AA59" s="10">
        <v>48.17</v>
      </c>
      <c r="AB59" s="95">
        <v>1828600</v>
      </c>
      <c r="AC59" s="10">
        <v>48.17</v>
      </c>
      <c r="AD59" s="2">
        <f t="shared" si="0"/>
        <v>1.0700000000000003</v>
      </c>
      <c r="AE59" s="138">
        <f t="shared" si="1"/>
        <v>-8.0313014827018137E-3</v>
      </c>
    </row>
    <row r="60" spans="1:31" x14ac:dyDescent="0.25">
      <c r="O60" s="83">
        <v>0.93</v>
      </c>
      <c r="P60" s="83">
        <f t="shared" si="7"/>
        <v>39.4878</v>
      </c>
      <c r="Q60" s="83"/>
      <c r="W60" s="133">
        <v>42669</v>
      </c>
      <c r="X60" s="10">
        <v>48.38</v>
      </c>
      <c r="Y60" s="10">
        <v>49.15</v>
      </c>
      <c r="Z60" s="10">
        <v>48.34</v>
      </c>
      <c r="AA60" s="10">
        <v>48.56</v>
      </c>
      <c r="AB60" s="95">
        <v>1427400</v>
      </c>
      <c r="AC60" s="10">
        <v>48.56</v>
      </c>
      <c r="AD60" s="2">
        <f t="shared" si="0"/>
        <v>0.80999999999999517</v>
      </c>
      <c r="AE60" s="138">
        <f t="shared" si="1"/>
        <v>2.0597322348114844E-4</v>
      </c>
    </row>
    <row r="61" spans="1:31" x14ac:dyDescent="0.25">
      <c r="O61" s="83">
        <v>0.92</v>
      </c>
      <c r="P61" s="83">
        <f t="shared" si="7"/>
        <v>39.063200000000002</v>
      </c>
      <c r="Q61" s="83"/>
      <c r="W61" s="133">
        <v>42668</v>
      </c>
      <c r="X61" s="10">
        <v>48.21</v>
      </c>
      <c r="Y61" s="10">
        <v>48.89</v>
      </c>
      <c r="Z61" s="10">
        <v>48.21</v>
      </c>
      <c r="AA61" s="10">
        <v>48.55</v>
      </c>
      <c r="AB61" s="95">
        <v>1495900</v>
      </c>
      <c r="AC61" s="10">
        <v>48.55</v>
      </c>
      <c r="AD61" s="2">
        <f t="shared" si="0"/>
        <v>0.67999999999999972</v>
      </c>
      <c r="AE61" s="138">
        <f t="shared" si="1"/>
        <v>-5.9377559377560285E-3</v>
      </c>
    </row>
    <row r="62" spans="1:31" x14ac:dyDescent="0.25">
      <c r="O62" s="83">
        <v>0.91</v>
      </c>
      <c r="P62" s="83">
        <f t="shared" si="7"/>
        <v>38.638600000000004</v>
      </c>
      <c r="Q62" s="83"/>
      <c r="W62" s="133">
        <v>42667</v>
      </c>
      <c r="X62" s="10">
        <v>49.14</v>
      </c>
      <c r="Y62" s="10">
        <v>49.37</v>
      </c>
      <c r="Z62" s="10">
        <v>48.51</v>
      </c>
      <c r="AA62" s="10">
        <v>48.84</v>
      </c>
      <c r="AB62" s="95">
        <v>1395200</v>
      </c>
      <c r="AC62" s="10">
        <v>48.84</v>
      </c>
      <c r="AD62" s="2">
        <f t="shared" si="0"/>
        <v>0.85999999999999943</v>
      </c>
      <c r="AE62" s="138">
        <f t="shared" si="1"/>
        <v>-2.2471910112359383E-3</v>
      </c>
    </row>
    <row r="63" spans="1:31" x14ac:dyDescent="0.25">
      <c r="O63" s="83">
        <v>0.9</v>
      </c>
      <c r="P63" s="83">
        <f t="shared" si="7"/>
        <v>38.213999999999999</v>
      </c>
      <c r="Q63" s="83"/>
      <c r="W63" s="133">
        <v>42664</v>
      </c>
      <c r="X63" s="10">
        <v>49.01</v>
      </c>
      <c r="Y63" s="10">
        <v>49.03</v>
      </c>
      <c r="Z63" s="10">
        <v>48.11</v>
      </c>
      <c r="AA63" s="10">
        <v>48.95</v>
      </c>
      <c r="AB63" s="95">
        <v>2440300</v>
      </c>
      <c r="AC63" s="10">
        <v>48.95</v>
      </c>
      <c r="AD63" s="2">
        <f t="shared" si="0"/>
        <v>0.92000000000000171</v>
      </c>
      <c r="AE63" s="138">
        <f t="shared" si="1"/>
        <v>-1.310483870967738E-2</v>
      </c>
    </row>
    <row r="64" spans="1:31" x14ac:dyDescent="0.25">
      <c r="Q64" s="83"/>
      <c r="W64" s="133">
        <v>42663</v>
      </c>
      <c r="X64" s="10">
        <v>49.95</v>
      </c>
      <c r="Y64" s="10">
        <v>49.95</v>
      </c>
      <c r="Z64" s="10">
        <v>49.17</v>
      </c>
      <c r="AA64" s="10">
        <v>49.6</v>
      </c>
      <c r="AB64" s="95">
        <v>3017900</v>
      </c>
      <c r="AC64" s="10">
        <v>49.6</v>
      </c>
      <c r="AD64" s="2">
        <f t="shared" si="0"/>
        <v>0.78000000000000114</v>
      </c>
      <c r="AE64" s="138">
        <f t="shared" si="1"/>
        <v>-9.9800399201597223E-3</v>
      </c>
    </row>
    <row r="65" spans="15:31" x14ac:dyDescent="0.25">
      <c r="Q65" s="83"/>
      <c r="W65" s="133">
        <v>42662</v>
      </c>
      <c r="X65" s="10">
        <v>47.74</v>
      </c>
      <c r="Y65" s="10">
        <v>50.33</v>
      </c>
      <c r="Z65" s="10">
        <v>47.48</v>
      </c>
      <c r="AA65" s="10">
        <v>50.1</v>
      </c>
      <c r="AB65" s="95">
        <v>6570000</v>
      </c>
      <c r="AC65" s="10">
        <v>50.1</v>
      </c>
      <c r="AD65" s="2">
        <f t="shared" si="0"/>
        <v>2.8500000000000014</v>
      </c>
      <c r="AE65" s="138">
        <f t="shared" si="1"/>
        <v>5.4292929292929282E-2</v>
      </c>
    </row>
    <row r="66" spans="15:31" x14ac:dyDescent="0.25">
      <c r="Q66" s="83"/>
      <c r="W66" s="133">
        <v>42661</v>
      </c>
      <c r="X66" s="10">
        <v>46.91</v>
      </c>
      <c r="Y66" s="10">
        <v>47.85</v>
      </c>
      <c r="Z66" s="10">
        <v>46.62</v>
      </c>
      <c r="AA66" s="10">
        <v>47.52</v>
      </c>
      <c r="AB66" s="95">
        <v>2491400</v>
      </c>
      <c r="AC66" s="10">
        <v>47.52</v>
      </c>
      <c r="AD66" s="2">
        <f t="shared" si="0"/>
        <v>1.230000000000004</v>
      </c>
      <c r="AE66" s="138">
        <f t="shared" si="1"/>
        <v>2.0837808807733671E-2</v>
      </c>
    </row>
    <row r="67" spans="15:31" x14ac:dyDescent="0.25">
      <c r="Q67" s="83"/>
      <c r="W67" s="133">
        <v>42660</v>
      </c>
      <c r="X67" s="10">
        <v>46.92</v>
      </c>
      <c r="Y67" s="10">
        <v>47.36</v>
      </c>
      <c r="Z67" s="10">
        <v>46.52</v>
      </c>
      <c r="AA67" s="10">
        <v>46.55</v>
      </c>
      <c r="AB67" s="95">
        <v>1641700</v>
      </c>
      <c r="AC67" s="10">
        <v>46.55</v>
      </c>
      <c r="AD67" s="2">
        <f>Y67-Z67</f>
        <v>0.83999999999999631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42755</v>
      </c>
      <c r="Y2" s="9">
        <v>74.37</v>
      </c>
      <c r="Z2" s="9">
        <v>74.959999999999994</v>
      </c>
      <c r="AA2" s="9">
        <v>74.37</v>
      </c>
      <c r="AB2" s="9">
        <v>74.540000000000006</v>
      </c>
      <c r="AC2" s="104">
        <v>1500700</v>
      </c>
      <c r="AD2" s="9">
        <v>74.540000000000006</v>
      </c>
      <c r="AE2" s="2">
        <f>Z2-AA2</f>
        <v>0.5899999999999892</v>
      </c>
      <c r="AF2" s="138">
        <f>AD2/AD3-1</f>
        <v>4.3115063325249725E-3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74.540000000000006</v>
      </c>
      <c r="T3" s="85"/>
      <c r="X3" s="110">
        <v>42754</v>
      </c>
      <c r="Y3" s="9">
        <v>74.66</v>
      </c>
      <c r="Z3" s="9">
        <v>74.78</v>
      </c>
      <c r="AA3" s="9">
        <v>73.900000000000006</v>
      </c>
      <c r="AB3" s="9">
        <v>74.22</v>
      </c>
      <c r="AC3" s="104">
        <v>1282100</v>
      </c>
      <c r="AD3" s="9">
        <v>74.22</v>
      </c>
      <c r="AE3" s="2">
        <f t="shared" ref="AE3:AE66" si="0">Z3-AA3</f>
        <v>0.87999999999999545</v>
      </c>
      <c r="AF3" s="138">
        <f t="shared" ref="AF3:AF66" si="1">AD3/AD4-1</f>
        <v>-4.0257648953300196E-3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74.540000000000006</v>
      </c>
      <c r="R4" s="505">
        <v>4.3E-3</v>
      </c>
      <c r="X4" s="110">
        <v>42753</v>
      </c>
      <c r="Y4" s="9">
        <v>74</v>
      </c>
      <c r="Z4" s="9">
        <v>74.83</v>
      </c>
      <c r="AA4" s="9">
        <v>73.92</v>
      </c>
      <c r="AB4" s="9">
        <v>74.52</v>
      </c>
      <c r="AC4" s="104">
        <v>1788800</v>
      </c>
      <c r="AD4" s="9">
        <v>74.52</v>
      </c>
      <c r="AE4" s="2">
        <f t="shared" si="0"/>
        <v>0.90999999999999659</v>
      </c>
      <c r="AF4" s="138">
        <f t="shared" si="1"/>
        <v>9.0724441435341419E-3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42752</v>
      </c>
      <c r="Y5" s="9">
        <v>73.61</v>
      </c>
      <c r="Z5" s="9">
        <v>73.89</v>
      </c>
      <c r="AA5" s="9">
        <v>73.39</v>
      </c>
      <c r="AB5" s="9">
        <v>73.849999999999994</v>
      </c>
      <c r="AC5" s="104">
        <v>1180000</v>
      </c>
      <c r="AD5" s="9">
        <v>73.849999999999994</v>
      </c>
      <c r="AE5" s="2">
        <f t="shared" si="0"/>
        <v>0.5</v>
      </c>
      <c r="AF5" s="138">
        <f t="shared" si="1"/>
        <v>-5.4134524292881459E-4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42748</v>
      </c>
      <c r="Y6" s="9">
        <v>73.91</v>
      </c>
      <c r="Z6" s="9">
        <v>74.349999999999994</v>
      </c>
      <c r="AA6" s="9">
        <v>73.8</v>
      </c>
      <c r="AB6" s="9">
        <v>73.89</v>
      </c>
      <c r="AC6" s="104">
        <v>1207500</v>
      </c>
      <c r="AD6" s="9">
        <v>73.89</v>
      </c>
      <c r="AE6" s="2">
        <f t="shared" si="0"/>
        <v>0.54999999999999716</v>
      </c>
      <c r="AF6" s="138">
        <f t="shared" si="1"/>
        <v>2.8501628664494572E-3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42747</v>
      </c>
      <c r="Y7" s="9">
        <v>73.56</v>
      </c>
      <c r="Z7" s="9">
        <v>73.790000000000006</v>
      </c>
      <c r="AA7" s="9">
        <v>73.13</v>
      </c>
      <c r="AB7" s="9">
        <v>73.680000000000007</v>
      </c>
      <c r="AC7" s="104">
        <v>1110500</v>
      </c>
      <c r="AD7" s="9">
        <v>73.680000000000007</v>
      </c>
      <c r="AE7" s="2">
        <f t="shared" si="0"/>
        <v>0.6600000000000108</v>
      </c>
      <c r="AF7" s="138">
        <f t="shared" si="1"/>
        <v>-3.5163646199619647E-3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42746</v>
      </c>
      <c r="Y8" s="9">
        <v>73.94</v>
      </c>
      <c r="Z8" s="9">
        <v>74.260000000000005</v>
      </c>
      <c r="AA8" s="9">
        <v>73.59</v>
      </c>
      <c r="AB8" s="9">
        <v>73.94</v>
      </c>
      <c r="AC8" s="104">
        <v>1727700</v>
      </c>
      <c r="AD8" s="9">
        <v>73.94</v>
      </c>
      <c r="AE8" s="2">
        <f t="shared" si="0"/>
        <v>0.67000000000000171</v>
      </c>
      <c r="AF8" s="138">
        <f t="shared" si="1"/>
        <v>2.5762711864405485E-3</v>
      </c>
    </row>
    <row r="9" spans="1:32" x14ac:dyDescent="0.25">
      <c r="O9" s="11" t="s">
        <v>215</v>
      </c>
      <c r="Q9" s="138">
        <f>IF(Q2=0, 0, Q8/Q6)</f>
        <v>0</v>
      </c>
      <c r="X9" s="110">
        <v>42745</v>
      </c>
      <c r="Y9" s="9">
        <v>73.28</v>
      </c>
      <c r="Z9" s="9">
        <v>74.3</v>
      </c>
      <c r="AA9" s="9">
        <v>73.260000000000005</v>
      </c>
      <c r="AB9" s="9">
        <v>73.75</v>
      </c>
      <c r="AC9" s="104">
        <v>2350000</v>
      </c>
      <c r="AD9" s="9">
        <v>73.75</v>
      </c>
      <c r="AE9" s="2">
        <f t="shared" si="0"/>
        <v>1.039999999999992</v>
      </c>
      <c r="AF9" s="138">
        <f t="shared" si="1"/>
        <v>9.0299630592420854E-3</v>
      </c>
    </row>
    <row r="10" spans="1:32" x14ac:dyDescent="0.25">
      <c r="O10" s="11" t="s">
        <v>214</v>
      </c>
      <c r="P10" s="34"/>
      <c r="Q10" s="2">
        <f>M40</f>
        <v>523.61999999999898</v>
      </c>
      <c r="T10" s="121"/>
      <c r="U10" s="68"/>
      <c r="X10" s="110">
        <v>42744</v>
      </c>
      <c r="Y10" s="9">
        <v>73.95</v>
      </c>
      <c r="Z10" s="9">
        <v>74.05</v>
      </c>
      <c r="AA10" s="9">
        <v>73.040000000000006</v>
      </c>
      <c r="AB10" s="9">
        <v>73.09</v>
      </c>
      <c r="AC10" s="104">
        <v>1801900</v>
      </c>
      <c r="AD10" s="9">
        <v>73.09</v>
      </c>
      <c r="AE10" s="2">
        <f t="shared" si="0"/>
        <v>1.0099999999999909</v>
      </c>
      <c r="AF10" s="138">
        <f t="shared" si="1"/>
        <v>-1.4295347269049241E-2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42741</v>
      </c>
      <c r="Y11" s="9">
        <v>73.680000000000007</v>
      </c>
      <c r="Z11" s="9">
        <v>74.459999999999994</v>
      </c>
      <c r="AA11" s="9">
        <v>73.48</v>
      </c>
      <c r="AB11" s="9">
        <v>74.150000000000006</v>
      </c>
      <c r="AC11" s="104">
        <v>1614700</v>
      </c>
      <c r="AD11" s="9">
        <v>74.150000000000006</v>
      </c>
      <c r="AE11" s="2">
        <f t="shared" si="0"/>
        <v>0.97999999999998977</v>
      </c>
      <c r="AF11" s="138">
        <f t="shared" si="1"/>
        <v>1.6209644738620632E-3</v>
      </c>
    </row>
    <row r="12" spans="1:32" x14ac:dyDescent="0.25">
      <c r="X12" s="110">
        <v>42740</v>
      </c>
      <c r="Y12" s="9">
        <v>74.180000000000007</v>
      </c>
      <c r="Z12" s="9">
        <v>74.44</v>
      </c>
      <c r="AA12" s="9">
        <v>73.8</v>
      </c>
      <c r="AB12" s="9">
        <v>74.03</v>
      </c>
      <c r="AC12" s="104">
        <v>1733000</v>
      </c>
      <c r="AD12" s="9">
        <v>74.03</v>
      </c>
      <c r="AE12" s="2">
        <f t="shared" si="0"/>
        <v>0.64000000000000057</v>
      </c>
      <c r="AF12" s="138">
        <f t="shared" si="1"/>
        <v>-4.5717359150195813E-3</v>
      </c>
    </row>
    <row r="13" spans="1:32" x14ac:dyDescent="0.25">
      <c r="Q13" s="2"/>
      <c r="X13" s="110">
        <v>42739</v>
      </c>
      <c r="Y13" s="9">
        <v>74.38</v>
      </c>
      <c r="Z13" s="9">
        <v>74.95</v>
      </c>
      <c r="AA13" s="9">
        <v>74.209999999999994</v>
      </c>
      <c r="AB13" s="9">
        <v>74.37</v>
      </c>
      <c r="AC13" s="104">
        <v>1945200</v>
      </c>
      <c r="AD13" s="9">
        <v>74.37</v>
      </c>
      <c r="AE13" s="2">
        <f t="shared" si="0"/>
        <v>0.74000000000000909</v>
      </c>
      <c r="AF13" s="138">
        <f t="shared" si="1"/>
        <v>2.6965080221112991E-3</v>
      </c>
    </row>
    <row r="14" spans="1:32" x14ac:dyDescent="0.25">
      <c r="X14" s="110">
        <v>42738</v>
      </c>
      <c r="Y14" s="9">
        <v>74</v>
      </c>
      <c r="Z14" s="9">
        <v>74.56</v>
      </c>
      <c r="AA14" s="9">
        <v>73.540000000000006</v>
      </c>
      <c r="AB14" s="9">
        <v>74.17</v>
      </c>
      <c r="AC14" s="104">
        <v>2019800</v>
      </c>
      <c r="AD14" s="9">
        <v>74.17</v>
      </c>
      <c r="AE14" s="2">
        <f t="shared" si="0"/>
        <v>1.019999999999996</v>
      </c>
      <c r="AF14" s="138">
        <f t="shared" si="1"/>
        <v>6.7458175930923403E-4</v>
      </c>
    </row>
    <row r="15" spans="1:32" x14ac:dyDescent="0.25">
      <c r="X15" s="110">
        <v>42734</v>
      </c>
      <c r="Y15" s="9">
        <v>74.540000000000006</v>
      </c>
      <c r="Z15" s="9">
        <v>74.56</v>
      </c>
      <c r="AA15" s="9">
        <v>73.930000000000007</v>
      </c>
      <c r="AB15" s="9">
        <v>74.12</v>
      </c>
      <c r="AC15" s="104">
        <v>1705500</v>
      </c>
      <c r="AD15" s="9">
        <v>74.12</v>
      </c>
      <c r="AE15" s="2">
        <f t="shared" si="0"/>
        <v>0.62999999999999545</v>
      </c>
      <c r="AF15" s="138">
        <f t="shared" si="1"/>
        <v>-2.154011847065096E-3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42733</v>
      </c>
      <c r="Y16" s="9">
        <v>74.38</v>
      </c>
      <c r="Z16" s="9">
        <v>74.569999999999993</v>
      </c>
      <c r="AA16" s="9">
        <v>74.2</v>
      </c>
      <c r="AB16" s="9">
        <v>74.28</v>
      </c>
      <c r="AC16" s="104">
        <v>1181900</v>
      </c>
      <c r="AD16" s="9">
        <v>74.28</v>
      </c>
      <c r="AE16" s="2">
        <f t="shared" si="0"/>
        <v>0.36999999999999034</v>
      </c>
      <c r="AF16" s="138">
        <f t="shared" si="1"/>
        <v>-9.41492938802857E-4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42732</v>
      </c>
      <c r="Y17" s="9">
        <v>74.66</v>
      </c>
      <c r="Z17" s="9">
        <v>74.7</v>
      </c>
      <c r="AA17" s="9">
        <v>74.209999999999994</v>
      </c>
      <c r="AB17" s="9">
        <v>74.349999999999994</v>
      </c>
      <c r="AC17" s="104">
        <v>1610200</v>
      </c>
      <c r="AD17" s="9">
        <v>74.349999999999994</v>
      </c>
      <c r="AE17" s="2">
        <f t="shared" si="0"/>
        <v>0.49000000000000909</v>
      </c>
      <c r="AF17" s="138">
        <f t="shared" si="1"/>
        <v>-2.1473627700980824E-3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42731</v>
      </c>
      <c r="Y18" s="9">
        <v>74.58</v>
      </c>
      <c r="Z18" s="9">
        <v>74.650000000000006</v>
      </c>
      <c r="AA18" s="9">
        <v>74.31</v>
      </c>
      <c r="AB18" s="9">
        <v>74.510000000000005</v>
      </c>
      <c r="AC18" s="104">
        <v>1217600</v>
      </c>
      <c r="AD18" s="9">
        <v>74.510000000000005</v>
      </c>
      <c r="AE18" s="2">
        <f t="shared" si="0"/>
        <v>0.34000000000000341</v>
      </c>
      <c r="AF18" s="138">
        <f t="shared" si="1"/>
        <v>-9.3858943416458285E-4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42727</v>
      </c>
      <c r="Y19" s="9">
        <v>74.48</v>
      </c>
      <c r="Z19" s="9">
        <v>74.77</v>
      </c>
      <c r="AA19" s="9">
        <v>74.319999999999993</v>
      </c>
      <c r="AB19" s="9">
        <v>74.58</v>
      </c>
      <c r="AC19" s="104">
        <v>1087600</v>
      </c>
      <c r="AD19" s="9">
        <v>74.58</v>
      </c>
      <c r="AE19" s="2">
        <f t="shared" si="0"/>
        <v>0.45000000000000284</v>
      </c>
      <c r="AF19" s="138">
        <f t="shared" si="1"/>
        <v>1.3426423200859627E-3</v>
      </c>
    </row>
    <row r="20" spans="1:32" x14ac:dyDescent="0.25">
      <c r="X20" s="110">
        <v>42726</v>
      </c>
      <c r="Y20" s="9">
        <v>74.42</v>
      </c>
      <c r="Z20" s="9">
        <v>74.650000000000006</v>
      </c>
      <c r="AA20" s="9">
        <v>74.069999999999993</v>
      </c>
      <c r="AB20" s="9">
        <v>74.48</v>
      </c>
      <c r="AC20" s="104">
        <v>1716000</v>
      </c>
      <c r="AD20" s="9">
        <v>74.48</v>
      </c>
      <c r="AE20" s="2">
        <f t="shared" si="0"/>
        <v>0.58000000000001251</v>
      </c>
      <c r="AF20" s="138">
        <f t="shared" si="1"/>
        <v>5.3734551316497736E-4</v>
      </c>
    </row>
    <row r="21" spans="1:32" x14ac:dyDescent="0.25">
      <c r="X21" s="110">
        <v>42725</v>
      </c>
      <c r="Y21" s="9">
        <v>74.48</v>
      </c>
      <c r="Z21" s="9">
        <v>74.66</v>
      </c>
      <c r="AA21" s="9">
        <v>74.31</v>
      </c>
      <c r="AB21" s="9">
        <v>74.44</v>
      </c>
      <c r="AC21" s="104">
        <v>1061100</v>
      </c>
      <c r="AD21" s="9">
        <v>74.44</v>
      </c>
      <c r="AE21" s="2">
        <f t="shared" si="0"/>
        <v>0.34999999999999432</v>
      </c>
      <c r="AF21" s="138">
        <f t="shared" si="1"/>
        <v>-5.370569280344073E-4</v>
      </c>
    </row>
    <row r="22" spans="1:32" x14ac:dyDescent="0.25">
      <c r="X22" s="110">
        <v>42724</v>
      </c>
      <c r="Y22" s="9">
        <v>74.59</v>
      </c>
      <c r="Z22" s="9">
        <v>74.72</v>
      </c>
      <c r="AA22" s="9">
        <v>74.31</v>
      </c>
      <c r="AB22" s="9">
        <v>74.48</v>
      </c>
      <c r="AC22" s="104">
        <v>1666500</v>
      </c>
      <c r="AD22" s="9">
        <v>74.48</v>
      </c>
      <c r="AE22" s="2">
        <f t="shared" si="0"/>
        <v>0.40999999999999659</v>
      </c>
      <c r="AF22" s="138">
        <f t="shared" si="1"/>
        <v>1.4790910313298156E-3</v>
      </c>
    </row>
    <row r="23" spans="1:32" x14ac:dyDescent="0.25">
      <c r="X23" s="110">
        <v>42723</v>
      </c>
      <c r="Y23" s="9">
        <v>74.239999999999995</v>
      </c>
      <c r="Z23" s="9">
        <v>74.569999999999993</v>
      </c>
      <c r="AA23" s="9">
        <v>74.17</v>
      </c>
      <c r="AB23" s="9">
        <v>74.37</v>
      </c>
      <c r="AC23" s="104">
        <v>1866000</v>
      </c>
      <c r="AD23" s="9">
        <v>74.37</v>
      </c>
      <c r="AE23" s="2">
        <f t="shared" si="0"/>
        <v>0.39999999999999147</v>
      </c>
      <c r="AF23" s="138">
        <f t="shared" si="1"/>
        <v>3.5082984752394797E-3</v>
      </c>
    </row>
    <row r="24" spans="1:32" x14ac:dyDescent="0.25">
      <c r="X24" s="110">
        <v>42720</v>
      </c>
      <c r="Y24" s="9">
        <v>73.78</v>
      </c>
      <c r="Z24" s="9">
        <v>74.16</v>
      </c>
      <c r="AA24" s="9">
        <v>73.540000000000006</v>
      </c>
      <c r="AB24" s="9">
        <v>74.11</v>
      </c>
      <c r="AC24" s="104">
        <v>3262500</v>
      </c>
      <c r="AD24" s="9">
        <v>74.11</v>
      </c>
      <c r="AE24" s="2">
        <f t="shared" si="0"/>
        <v>0.61999999999999034</v>
      </c>
      <c r="AF24" s="138">
        <f t="shared" si="1"/>
        <v>7.7508838727222695E-3</v>
      </c>
    </row>
    <row r="25" spans="1:32" x14ac:dyDescent="0.25">
      <c r="X25" s="110">
        <v>42719</v>
      </c>
      <c r="Y25" s="9">
        <v>72.66</v>
      </c>
      <c r="Z25" s="9">
        <v>73.75</v>
      </c>
      <c r="AA25" s="9">
        <v>72.430000000000007</v>
      </c>
      <c r="AB25" s="9">
        <v>73.540000000000006</v>
      </c>
      <c r="AC25" s="104">
        <v>2069200</v>
      </c>
      <c r="AD25" s="9">
        <v>73.540000000000006</v>
      </c>
      <c r="AE25" s="2">
        <f t="shared" si="0"/>
        <v>1.3199999999999932</v>
      </c>
      <c r="AF25" s="138">
        <f t="shared" si="1"/>
        <v>1.2808153146949497E-2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42718</v>
      </c>
      <c r="Y26" s="9">
        <v>72.92</v>
      </c>
      <c r="Z26" s="9">
        <v>73.33</v>
      </c>
      <c r="AA26" s="9">
        <v>72.42</v>
      </c>
      <c r="AB26" s="9">
        <v>72.61</v>
      </c>
      <c r="AC26" s="104">
        <v>2155200</v>
      </c>
      <c r="AD26" s="9">
        <v>72.61</v>
      </c>
      <c r="AE26" s="2">
        <f t="shared" si="0"/>
        <v>0.90999999999999659</v>
      </c>
      <c r="AF26" s="138">
        <f t="shared" si="1"/>
        <v>-4.3877690936515723E-3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42717</v>
      </c>
      <c r="Y27" s="9">
        <v>72.650000000000006</v>
      </c>
      <c r="Z27" s="9">
        <v>73.13</v>
      </c>
      <c r="AA27" s="9">
        <v>72.540000000000006</v>
      </c>
      <c r="AB27" s="9">
        <v>72.930000000000007</v>
      </c>
      <c r="AC27" s="104">
        <v>2585900</v>
      </c>
      <c r="AD27" s="9">
        <v>72.930000000000007</v>
      </c>
      <c r="AE27" s="2">
        <f t="shared" si="0"/>
        <v>0.5899999999999892</v>
      </c>
      <c r="AF27" s="138">
        <f t="shared" si="1"/>
        <v>1.5105740181271532E-3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42716</v>
      </c>
      <c r="Y28" s="9">
        <v>72.44</v>
      </c>
      <c r="Z28" s="9">
        <v>72.95</v>
      </c>
      <c r="AA28" s="9">
        <v>72.3</v>
      </c>
      <c r="AB28" s="9">
        <v>72.819999999999993</v>
      </c>
      <c r="AC28" s="104">
        <v>1974400</v>
      </c>
      <c r="AD28" s="9">
        <v>72.819999999999993</v>
      </c>
      <c r="AE28" s="2">
        <f t="shared" si="0"/>
        <v>0.65000000000000568</v>
      </c>
      <c r="AF28" s="138">
        <f t="shared" si="1"/>
        <v>4.8295846557195876E-3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42713</v>
      </c>
      <c r="Y29" s="9">
        <v>71.77</v>
      </c>
      <c r="Z29" s="9">
        <v>72.5</v>
      </c>
      <c r="AA29" s="9">
        <v>71.510000000000005</v>
      </c>
      <c r="AB29" s="9">
        <v>72.47</v>
      </c>
      <c r="AC29" s="104">
        <v>2168600</v>
      </c>
      <c r="AD29" s="9">
        <v>72.47</v>
      </c>
      <c r="AE29" s="2">
        <f t="shared" si="0"/>
        <v>0.98999999999999488</v>
      </c>
      <c r="AF29" s="138">
        <f t="shared" si="1"/>
        <v>1.1162271522254796E-2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42712</v>
      </c>
      <c r="Y30" s="9">
        <v>71.77</v>
      </c>
      <c r="Z30" s="9">
        <v>71.98</v>
      </c>
      <c r="AA30" s="9">
        <v>71.17</v>
      </c>
      <c r="AB30" s="9">
        <v>71.67</v>
      </c>
      <c r="AC30" s="104">
        <v>1985200</v>
      </c>
      <c r="AD30" s="9">
        <v>71.67</v>
      </c>
      <c r="AE30" s="2">
        <f t="shared" si="0"/>
        <v>0.81000000000000227</v>
      </c>
      <c r="AF30" s="138">
        <f t="shared" si="1"/>
        <v>2.7913468248419449E-4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42711</v>
      </c>
      <c r="Y31" s="9">
        <v>71.13</v>
      </c>
      <c r="Z31" s="9">
        <v>71.75</v>
      </c>
      <c r="AA31" s="9">
        <v>70.73</v>
      </c>
      <c r="AB31" s="9">
        <v>71.650000000000006</v>
      </c>
      <c r="AC31" s="104">
        <v>1823100</v>
      </c>
      <c r="AD31" s="9">
        <v>71.650000000000006</v>
      </c>
      <c r="AE31" s="2">
        <f t="shared" si="0"/>
        <v>1.019999999999996</v>
      </c>
      <c r="AF31" s="138">
        <f t="shared" si="1"/>
        <v>9.866102889358741E-3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42710</v>
      </c>
      <c r="Y32" s="9">
        <v>70.58</v>
      </c>
      <c r="Z32" s="9">
        <v>70.97</v>
      </c>
      <c r="AA32" s="9">
        <v>70.45</v>
      </c>
      <c r="AB32" s="9">
        <v>70.95</v>
      </c>
      <c r="AC32" s="104">
        <v>2271600</v>
      </c>
      <c r="AD32" s="9">
        <v>70.95</v>
      </c>
      <c r="AE32" s="2">
        <f t="shared" si="0"/>
        <v>0.51999999999999602</v>
      </c>
      <c r="AF32" s="138">
        <f t="shared" si="1"/>
        <v>8.3854462762933402E-3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42709</v>
      </c>
      <c r="Y33" s="9">
        <v>70.84</v>
      </c>
      <c r="Z33" s="9">
        <v>70.95</v>
      </c>
      <c r="AA33" s="9">
        <v>70.22</v>
      </c>
      <c r="AB33" s="9">
        <v>70.36</v>
      </c>
      <c r="AC33" s="104">
        <v>2758700</v>
      </c>
      <c r="AD33" s="9">
        <v>70.36</v>
      </c>
      <c r="AE33" s="2">
        <f t="shared" si="0"/>
        <v>0.73000000000000398</v>
      </c>
      <c r="AF33" s="138">
        <f t="shared" si="1"/>
        <v>-3.54057498937832E-3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42706</v>
      </c>
      <c r="Y34" s="9">
        <v>70.430000000000007</v>
      </c>
      <c r="Z34" s="9">
        <v>70.78</v>
      </c>
      <c r="AA34" s="9">
        <v>70.260000000000005</v>
      </c>
      <c r="AB34" s="9">
        <v>70.61</v>
      </c>
      <c r="AC34" s="104">
        <v>1899000</v>
      </c>
      <c r="AD34" s="9">
        <v>70.61</v>
      </c>
      <c r="AE34" s="2">
        <f t="shared" si="0"/>
        <v>0.51999999999999602</v>
      </c>
      <c r="AF34" s="138">
        <f t="shared" si="1"/>
        <v>3.6958066808814305E-3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2" t="s">
        <v>78</v>
      </c>
      <c r="P35" s="632"/>
      <c r="X35" s="110">
        <v>42705</v>
      </c>
      <c r="Y35" s="9">
        <v>69.95</v>
      </c>
      <c r="Z35" s="9">
        <v>70.38</v>
      </c>
      <c r="AA35" s="9">
        <v>69.760000000000005</v>
      </c>
      <c r="AB35" s="9">
        <v>70.349999999999994</v>
      </c>
      <c r="AC35" s="104">
        <v>2329000</v>
      </c>
      <c r="AD35" s="9">
        <v>70.349999999999994</v>
      </c>
      <c r="AE35" s="2">
        <f t="shared" si="0"/>
        <v>0.61999999999999034</v>
      </c>
      <c r="AF35" s="138">
        <f t="shared" si="1"/>
        <v>6.1498855835240285E-3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81.994000000000014</v>
      </c>
      <c r="Q36" s="2"/>
      <c r="X36" s="110">
        <v>42704</v>
      </c>
      <c r="Y36" s="9">
        <v>70.08</v>
      </c>
      <c r="Z36" s="9">
        <v>70.58</v>
      </c>
      <c r="AA36" s="9">
        <v>69.48</v>
      </c>
      <c r="AB36" s="9">
        <v>69.92</v>
      </c>
      <c r="AC36" s="104">
        <v>5746300</v>
      </c>
      <c r="AD36" s="9">
        <v>69.92</v>
      </c>
      <c r="AE36" s="2">
        <f t="shared" si="0"/>
        <v>1.0999999999999943</v>
      </c>
      <c r="AF36" s="138">
        <f t="shared" si="1"/>
        <v>4.164871463449682E-3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81.24860000000001</v>
      </c>
      <c r="Q37" s="2"/>
      <c r="X37" s="110">
        <v>42703</v>
      </c>
      <c r="Y37" s="9">
        <v>71.290000000000006</v>
      </c>
      <c r="Z37" s="9">
        <v>71.64</v>
      </c>
      <c r="AA37" s="9">
        <v>69.040000000000006</v>
      </c>
      <c r="AB37" s="9">
        <v>69.63</v>
      </c>
      <c r="AC37" s="104">
        <v>6661500</v>
      </c>
      <c r="AD37" s="9">
        <v>69.63</v>
      </c>
      <c r="AE37" s="2">
        <f t="shared" si="0"/>
        <v>2.5999999999999943</v>
      </c>
      <c r="AF37" s="138">
        <f t="shared" si="1"/>
        <v>-3.3453636868406633E-2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80.503200000000007</v>
      </c>
      <c r="Q38" s="2"/>
      <c r="X38" s="110">
        <v>42702</v>
      </c>
      <c r="Y38" s="9">
        <v>71.98</v>
      </c>
      <c r="Z38" s="9">
        <v>72.22</v>
      </c>
      <c r="AA38" s="9">
        <v>71.88</v>
      </c>
      <c r="AB38" s="9">
        <v>72.040000000000006</v>
      </c>
      <c r="AC38" s="104">
        <v>2017700</v>
      </c>
      <c r="AD38" s="9">
        <v>72.040000000000006</v>
      </c>
      <c r="AE38" s="2">
        <f t="shared" si="0"/>
        <v>0.34000000000000341</v>
      </c>
      <c r="AF38" s="138" t="e">
        <f t="shared" si="1"/>
        <v>#DIV/0!</v>
      </c>
    </row>
    <row r="39" spans="1:32" ht="20.25" thickBot="1" x14ac:dyDescent="0.35">
      <c r="O39" s="83">
        <v>1.07</v>
      </c>
      <c r="P39" s="83">
        <f t="shared" si="3"/>
        <v>79.757800000000017</v>
      </c>
      <c r="Q39" s="2"/>
      <c r="T39" s="112" t="s">
        <v>92</v>
      </c>
      <c r="U39" s="2"/>
      <c r="X39" s="110">
        <v>42702</v>
      </c>
      <c r="Y39" s="9" t="s">
        <v>224</v>
      </c>
      <c r="Z39" s="9"/>
      <c r="AA39" s="9"/>
      <c r="AB39" s="9"/>
      <c r="AC39" s="104"/>
      <c r="AD39" s="9"/>
      <c r="AE39" s="2">
        <f t="shared" si="0"/>
        <v>0</v>
      </c>
      <c r="AF39" s="138">
        <f t="shared" si="1"/>
        <v>-1</v>
      </c>
    </row>
    <row r="40" spans="1:32" ht="15.75" thickTop="1" x14ac:dyDescent="0.25">
      <c r="L40" t="s">
        <v>214</v>
      </c>
      <c r="M40" s="2">
        <f>K56+M56-F56</f>
        <v>523.61999999999898</v>
      </c>
      <c r="O40" s="83">
        <v>1.06</v>
      </c>
      <c r="P40" s="83">
        <f t="shared" si="3"/>
        <v>79.012400000000014</v>
      </c>
      <c r="Q40" s="2"/>
      <c r="T40" s="113" t="s">
        <v>98</v>
      </c>
      <c r="U40" s="106">
        <v>74.22</v>
      </c>
      <c r="X40" s="110">
        <v>42699</v>
      </c>
      <c r="Y40" s="9">
        <v>72.38</v>
      </c>
      <c r="Z40" s="9">
        <v>72.58</v>
      </c>
      <c r="AA40" s="9">
        <v>72.13</v>
      </c>
      <c r="AB40" s="9">
        <v>72.38</v>
      </c>
      <c r="AC40" s="104">
        <v>1970600</v>
      </c>
      <c r="AD40" s="9">
        <v>72.05</v>
      </c>
      <c r="AE40" s="2">
        <f t="shared" si="0"/>
        <v>0.45000000000000284</v>
      </c>
      <c r="AF40" s="138">
        <f t="shared" si="1"/>
        <v>-2.7750797835435215E-4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78.26700000000001</v>
      </c>
      <c r="Q41" s="2"/>
      <c r="T41" s="113" t="s">
        <v>99</v>
      </c>
      <c r="U41" s="106">
        <v>74.37</v>
      </c>
      <c r="X41" s="110">
        <v>42697</v>
      </c>
      <c r="Y41" s="9">
        <v>72.459999999999994</v>
      </c>
      <c r="Z41" s="9">
        <v>72.72</v>
      </c>
      <c r="AA41" s="9">
        <v>72.14</v>
      </c>
      <c r="AB41" s="9">
        <v>72.400000000000006</v>
      </c>
      <c r="AC41" s="104">
        <v>1852800</v>
      </c>
      <c r="AD41" s="9">
        <v>72.069999999999993</v>
      </c>
      <c r="AE41" s="2">
        <f t="shared" si="0"/>
        <v>0.57999999999999829</v>
      </c>
      <c r="AF41" s="138">
        <f t="shared" si="1"/>
        <v>4.1643531371438058E-4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77.521600000000007</v>
      </c>
      <c r="Q42" s="2"/>
      <c r="T42" s="113" t="s">
        <v>100</v>
      </c>
      <c r="U42" s="106" t="s">
        <v>129</v>
      </c>
      <c r="X42" s="110">
        <v>42696</v>
      </c>
      <c r="Y42" s="9">
        <v>72.19</v>
      </c>
      <c r="Z42" s="9">
        <v>72.680000000000007</v>
      </c>
      <c r="AA42" s="9">
        <v>71.92</v>
      </c>
      <c r="AB42" s="9">
        <v>72.37</v>
      </c>
      <c r="AC42" s="104">
        <v>3863800</v>
      </c>
      <c r="AD42" s="9">
        <v>72.040000000000006</v>
      </c>
      <c r="AE42" s="2">
        <f t="shared" si="0"/>
        <v>0.76000000000000512</v>
      </c>
      <c r="AF42" s="138">
        <f t="shared" si="1"/>
        <v>2.6443980514962995E-3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76.776200000000003</v>
      </c>
      <c r="Q43" s="2"/>
      <c r="T43" s="113" t="s">
        <v>101</v>
      </c>
      <c r="U43" s="106" t="s">
        <v>129</v>
      </c>
      <c r="X43" s="110">
        <v>42695</v>
      </c>
      <c r="Y43" s="9">
        <v>72.06</v>
      </c>
      <c r="Z43" s="9">
        <v>72.39</v>
      </c>
      <c r="AA43" s="9">
        <v>71.73</v>
      </c>
      <c r="AB43" s="9">
        <v>72.180000000000007</v>
      </c>
      <c r="AC43" s="104">
        <v>2651400</v>
      </c>
      <c r="AD43" s="9">
        <v>71.849999999999994</v>
      </c>
      <c r="AE43" s="2">
        <f t="shared" si="0"/>
        <v>0.65999999999999659</v>
      </c>
      <c r="AF43" s="138">
        <f t="shared" si="1"/>
        <v>2.2318314967220143E-3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76.030800000000013</v>
      </c>
      <c r="Q44" s="2"/>
      <c r="T44" s="113" t="s">
        <v>102</v>
      </c>
      <c r="U44" s="106">
        <v>80.13</v>
      </c>
      <c r="X44" s="110">
        <v>42692</v>
      </c>
      <c r="Y44" s="9">
        <v>71.8</v>
      </c>
      <c r="Z44" s="9">
        <v>72.2</v>
      </c>
      <c r="AA44" s="9">
        <v>71.41</v>
      </c>
      <c r="AB44" s="9">
        <v>72.02</v>
      </c>
      <c r="AC44" s="104">
        <v>2998300</v>
      </c>
      <c r="AD44" s="9">
        <v>71.69</v>
      </c>
      <c r="AE44" s="2">
        <f t="shared" si="0"/>
        <v>0.79000000000000625</v>
      </c>
      <c r="AF44" s="138">
        <f t="shared" si="1"/>
        <v>3.3589923023091828E-3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75.28540000000001</v>
      </c>
      <c r="Q45" s="2"/>
      <c r="T45" s="113" t="s">
        <v>103</v>
      </c>
      <c r="U45" s="106">
        <v>0.99664200000000003</v>
      </c>
      <c r="X45" s="110">
        <v>42691</v>
      </c>
      <c r="Y45" s="9">
        <v>70.62</v>
      </c>
      <c r="Z45" s="9">
        <v>71.790000000000006</v>
      </c>
      <c r="AA45" s="9">
        <v>70.47</v>
      </c>
      <c r="AB45" s="9">
        <v>71.78</v>
      </c>
      <c r="AC45" s="104">
        <v>2792300</v>
      </c>
      <c r="AD45" s="9">
        <v>71.45</v>
      </c>
      <c r="AE45" s="2">
        <f t="shared" si="0"/>
        <v>1.3200000000000074</v>
      </c>
      <c r="AF45" s="138">
        <f t="shared" si="1"/>
        <v>1.4914772727272707E-2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74.540000000000006</v>
      </c>
      <c r="Q46" s="2"/>
      <c r="T46" s="113" t="s">
        <v>104</v>
      </c>
      <c r="U46" s="106" t="s">
        <v>334</v>
      </c>
      <c r="X46" s="110">
        <v>42690</v>
      </c>
      <c r="Y46" s="9">
        <v>71</v>
      </c>
      <c r="Z46" s="9">
        <v>71.08</v>
      </c>
      <c r="AA46" s="9">
        <v>70.099999999999994</v>
      </c>
      <c r="AB46" s="9">
        <v>70.72</v>
      </c>
      <c r="AC46" s="104">
        <v>2453700</v>
      </c>
      <c r="AD46" s="9">
        <v>70.400000000000006</v>
      </c>
      <c r="AE46" s="2">
        <f t="shared" si="0"/>
        <v>0.98000000000000398</v>
      </c>
      <c r="AF46" s="138">
        <f t="shared" si="1"/>
        <v>-8.0315626320979217E-3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73.794600000000003</v>
      </c>
      <c r="Q47" s="2"/>
      <c r="T47" s="113"/>
      <c r="U47" s="106"/>
      <c r="X47" s="110">
        <v>42689</v>
      </c>
      <c r="Y47" s="9">
        <v>70.459999999999994</v>
      </c>
      <c r="Z47" s="9">
        <v>71.41</v>
      </c>
      <c r="AA47" s="9">
        <v>70.319999999999993</v>
      </c>
      <c r="AB47" s="9">
        <v>71.3</v>
      </c>
      <c r="AC47" s="104">
        <v>3334400</v>
      </c>
      <c r="AD47" s="9">
        <v>70.97</v>
      </c>
      <c r="AE47" s="2">
        <f t="shared" si="0"/>
        <v>1.0900000000000034</v>
      </c>
      <c r="AF47" s="138">
        <f t="shared" si="1"/>
        <v>8.5263606650560764E-3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73.049199999999999</v>
      </c>
      <c r="Q48" s="2"/>
      <c r="T48" s="113" t="s">
        <v>105</v>
      </c>
      <c r="U48" s="106" t="s">
        <v>565</v>
      </c>
      <c r="X48" s="110">
        <v>42688</v>
      </c>
      <c r="Y48" s="9">
        <v>69.760000000000005</v>
      </c>
      <c r="Z48" s="9">
        <v>70.87</v>
      </c>
      <c r="AA48" s="9">
        <v>69.599999999999994</v>
      </c>
      <c r="AB48" s="9">
        <v>70.69</v>
      </c>
      <c r="AC48" s="104">
        <v>2673100</v>
      </c>
      <c r="AD48" s="9">
        <v>70.37</v>
      </c>
      <c r="AE48" s="2">
        <f t="shared" si="0"/>
        <v>1.2700000000000102</v>
      </c>
      <c r="AF48" s="138">
        <f t="shared" si="1"/>
        <v>1.5147143681477404E-2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72.30380000000001</v>
      </c>
      <c r="T49" s="113" t="s">
        <v>106</v>
      </c>
      <c r="U49" s="106" t="s">
        <v>566</v>
      </c>
      <c r="X49" s="110">
        <v>42685</v>
      </c>
      <c r="Y49" s="9">
        <v>69.319999999999993</v>
      </c>
      <c r="Z49" s="9">
        <v>69.75</v>
      </c>
      <c r="AA49" s="9">
        <v>68.92</v>
      </c>
      <c r="AB49" s="9">
        <v>69.64</v>
      </c>
      <c r="AC49" s="104">
        <v>2270000</v>
      </c>
      <c r="AD49" s="9">
        <v>69.319999999999993</v>
      </c>
      <c r="AE49" s="2">
        <f t="shared" si="0"/>
        <v>0.82999999999999829</v>
      </c>
      <c r="AF49" s="138">
        <f t="shared" si="1"/>
        <v>2.748444958773355E-3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71.558400000000006</v>
      </c>
      <c r="T50" s="113" t="s">
        <v>107</v>
      </c>
      <c r="U50" s="107">
        <v>1528423</v>
      </c>
      <c r="X50" s="110">
        <v>42684</v>
      </c>
      <c r="Y50" s="9">
        <v>68.92</v>
      </c>
      <c r="Z50" s="9">
        <v>69.459999999999994</v>
      </c>
      <c r="AA50" s="9">
        <v>68.13</v>
      </c>
      <c r="AB50" s="9">
        <v>69.45</v>
      </c>
      <c r="AC50" s="104">
        <v>3288200</v>
      </c>
      <c r="AD50" s="9">
        <v>69.13</v>
      </c>
      <c r="AE50" s="2">
        <f t="shared" si="0"/>
        <v>1.3299999999999983</v>
      </c>
      <c r="AF50" s="138">
        <f t="shared" si="1"/>
        <v>1.871500147362215E-2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70.813000000000002</v>
      </c>
      <c r="T51" s="113" t="s">
        <v>110</v>
      </c>
      <c r="U51" s="107">
        <v>2269610</v>
      </c>
      <c r="X51" s="110">
        <v>42683</v>
      </c>
      <c r="Y51" s="9">
        <v>67.650000000000006</v>
      </c>
      <c r="Z51" s="9">
        <v>68.510000000000005</v>
      </c>
      <c r="AA51" s="9">
        <v>67.290000000000006</v>
      </c>
      <c r="AB51" s="9">
        <v>68.17</v>
      </c>
      <c r="AC51" s="104">
        <v>3230800</v>
      </c>
      <c r="AD51" s="9">
        <v>67.86</v>
      </c>
      <c r="AE51" s="2">
        <f t="shared" si="0"/>
        <v>1.2199999999999989</v>
      </c>
      <c r="AF51" s="138">
        <f t="shared" si="1"/>
        <v>8.7706258361825995E-3</v>
      </c>
    </row>
    <row r="52" spans="1:32" x14ac:dyDescent="0.25">
      <c r="O52" s="83">
        <v>0.94</v>
      </c>
      <c r="P52" s="83">
        <f t="shared" si="3"/>
        <v>70.067599999999999</v>
      </c>
      <c r="T52" s="113" t="s">
        <v>108</v>
      </c>
      <c r="U52" s="106" t="s">
        <v>567</v>
      </c>
      <c r="X52" s="110">
        <v>42682</v>
      </c>
      <c r="Y52" s="9">
        <v>66.66</v>
      </c>
      <c r="Z52" s="9">
        <v>67.739999999999995</v>
      </c>
      <c r="AA52" s="9">
        <v>66.66</v>
      </c>
      <c r="AB52" s="9">
        <v>67.58</v>
      </c>
      <c r="AC52" s="104">
        <v>2373900</v>
      </c>
      <c r="AD52" s="9">
        <v>67.27</v>
      </c>
      <c r="AE52" s="2">
        <f t="shared" si="0"/>
        <v>1.0799999999999983</v>
      </c>
      <c r="AF52" s="138">
        <f t="shared" si="1"/>
        <v>1.0667067307692291E-2</v>
      </c>
    </row>
    <row r="53" spans="1:32" x14ac:dyDescent="0.25">
      <c r="O53" s="83">
        <v>0.93</v>
      </c>
      <c r="P53" s="83">
        <f t="shared" si="3"/>
        <v>69.322200000000009</v>
      </c>
      <c r="T53" s="113" t="s">
        <v>111</v>
      </c>
      <c r="U53" s="106">
        <v>20.18</v>
      </c>
      <c r="X53" s="110">
        <v>42681</v>
      </c>
      <c r="Y53" s="9">
        <v>67.41</v>
      </c>
      <c r="Z53" s="9">
        <v>67.53</v>
      </c>
      <c r="AA53" s="9">
        <v>66.55</v>
      </c>
      <c r="AB53" s="9">
        <v>66.86</v>
      </c>
      <c r="AC53" s="104">
        <v>3430600</v>
      </c>
      <c r="AD53" s="9">
        <v>66.56</v>
      </c>
      <c r="AE53" s="2">
        <f t="shared" si="0"/>
        <v>0.98000000000000398</v>
      </c>
      <c r="AF53" s="138">
        <f t="shared" si="1"/>
        <v>2.1077988557662852E-3</v>
      </c>
    </row>
    <row r="54" spans="1:32" x14ac:dyDescent="0.25">
      <c r="O54" s="83">
        <v>0.92</v>
      </c>
      <c r="P54" s="83">
        <f t="shared" si="3"/>
        <v>68.576800000000006</v>
      </c>
      <c r="T54" s="113" t="s">
        <v>112</v>
      </c>
      <c r="U54" s="106">
        <v>3.69</v>
      </c>
      <c r="X54" s="110">
        <v>42678</v>
      </c>
      <c r="Y54" s="9">
        <v>68</v>
      </c>
      <c r="Z54" s="9">
        <v>68.010000000000005</v>
      </c>
      <c r="AA54" s="9">
        <v>66.650000000000006</v>
      </c>
      <c r="AB54" s="9">
        <v>66.72</v>
      </c>
      <c r="AC54" s="104">
        <v>2981100</v>
      </c>
      <c r="AD54" s="9">
        <v>66.42</v>
      </c>
      <c r="AE54" s="2">
        <f t="shared" si="0"/>
        <v>1.3599999999999994</v>
      </c>
      <c r="AF54" s="138">
        <f t="shared" si="1"/>
        <v>-2.0064915904396519E-2</v>
      </c>
    </row>
    <row r="55" spans="1:32" x14ac:dyDescent="0.25">
      <c r="O55" s="83">
        <v>0.91</v>
      </c>
      <c r="P55" s="83">
        <f t="shared" si="3"/>
        <v>67.831400000000002</v>
      </c>
      <c r="T55" s="113" t="s">
        <v>109</v>
      </c>
      <c r="U55" s="106" t="s">
        <v>568</v>
      </c>
      <c r="X55" s="110">
        <v>42677</v>
      </c>
      <c r="Y55" s="9">
        <v>67.97</v>
      </c>
      <c r="Z55" s="9">
        <v>68.989999999999995</v>
      </c>
      <c r="AA55" s="9">
        <v>67.41</v>
      </c>
      <c r="AB55" s="9">
        <v>68.09</v>
      </c>
      <c r="AC55" s="104">
        <v>4516200</v>
      </c>
      <c r="AD55" s="9">
        <v>67.78</v>
      </c>
      <c r="AE55" s="2">
        <f t="shared" si="0"/>
        <v>1.5799999999999983</v>
      </c>
      <c r="AF55" s="138">
        <f t="shared" si="1"/>
        <v>1.1189019841861825E-2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67.086000000000013</v>
      </c>
      <c r="X56" s="110">
        <v>42676</v>
      </c>
      <c r="Y56" s="9">
        <v>66.92</v>
      </c>
      <c r="Z56" s="9">
        <v>67.59</v>
      </c>
      <c r="AA56" s="9">
        <v>66.91</v>
      </c>
      <c r="AB56" s="9">
        <v>67.34</v>
      </c>
      <c r="AC56" s="104">
        <v>2867900</v>
      </c>
      <c r="AD56" s="9">
        <v>67.03</v>
      </c>
      <c r="AE56" s="2">
        <f t="shared" si="0"/>
        <v>0.68000000000000682</v>
      </c>
      <c r="AF56" s="138">
        <f t="shared" si="1"/>
        <v>1.9431988041853643E-3</v>
      </c>
    </row>
    <row r="57" spans="1:32" x14ac:dyDescent="0.25">
      <c r="X57" s="110">
        <v>42675</v>
      </c>
      <c r="Y57" s="9">
        <v>67.849999999999994</v>
      </c>
      <c r="Z57" s="9">
        <v>67.86</v>
      </c>
      <c r="AA57" s="9">
        <v>66.819999999999993</v>
      </c>
      <c r="AB57" s="9">
        <v>67.209999999999994</v>
      </c>
      <c r="AC57" s="104">
        <v>2763700</v>
      </c>
      <c r="AD57" s="9">
        <v>66.900000000000006</v>
      </c>
      <c r="AE57" s="2">
        <f t="shared" si="0"/>
        <v>1.0400000000000063</v>
      </c>
      <c r="AF57" s="138">
        <f t="shared" si="1"/>
        <v>-1.0208610741233914E-2</v>
      </c>
    </row>
    <row r="58" spans="1:32" x14ac:dyDescent="0.25">
      <c r="X58" s="110">
        <v>42674</v>
      </c>
      <c r="Y58" s="9">
        <v>67.760000000000005</v>
      </c>
      <c r="Z58" s="9">
        <v>68.11</v>
      </c>
      <c r="AA58" s="9">
        <v>67.53</v>
      </c>
      <c r="AB58" s="9">
        <v>67.900000000000006</v>
      </c>
      <c r="AC58" s="104">
        <v>2271100</v>
      </c>
      <c r="AD58" s="9">
        <v>67.59</v>
      </c>
      <c r="AE58" s="2">
        <f t="shared" si="0"/>
        <v>0.57999999999999829</v>
      </c>
      <c r="AF58" s="138">
        <f t="shared" si="1"/>
        <v>5.5043141922048733E-3</v>
      </c>
    </row>
    <row r="59" spans="1:32" x14ac:dyDescent="0.25">
      <c r="X59" s="110">
        <v>42671</v>
      </c>
      <c r="Y59" s="9">
        <v>67.760000000000005</v>
      </c>
      <c r="Z59" s="9">
        <v>68.27</v>
      </c>
      <c r="AA59" s="9">
        <v>67.08</v>
      </c>
      <c r="AB59" s="9">
        <v>67.53</v>
      </c>
      <c r="AC59" s="104">
        <v>2435200</v>
      </c>
      <c r="AD59" s="9">
        <v>67.22</v>
      </c>
      <c r="AE59" s="2">
        <f t="shared" si="0"/>
        <v>1.1899999999999977</v>
      </c>
      <c r="AF59" s="138">
        <f t="shared" si="1"/>
        <v>-8.9179548156959054E-4</v>
      </c>
    </row>
    <row r="60" spans="1:32" x14ac:dyDescent="0.25">
      <c r="X60" s="110">
        <v>42670</v>
      </c>
      <c r="Y60" s="9">
        <v>68.12</v>
      </c>
      <c r="Z60" s="9">
        <v>68.14</v>
      </c>
      <c r="AA60" s="9">
        <v>67.58</v>
      </c>
      <c r="AB60" s="9">
        <v>67.59</v>
      </c>
      <c r="AC60" s="104">
        <v>1366600</v>
      </c>
      <c r="AD60" s="9">
        <v>67.28</v>
      </c>
      <c r="AE60" s="2">
        <f t="shared" si="0"/>
        <v>0.56000000000000227</v>
      </c>
      <c r="AF60" s="138">
        <f t="shared" si="1"/>
        <v>-5.1752180984768748E-3</v>
      </c>
    </row>
    <row r="61" spans="1:32" x14ac:dyDescent="0.25">
      <c r="X61" s="110">
        <v>42669</v>
      </c>
      <c r="Y61" s="9">
        <v>67.489999999999995</v>
      </c>
      <c r="Z61" s="9">
        <v>68.14</v>
      </c>
      <c r="AA61" s="9">
        <v>67.36</v>
      </c>
      <c r="AB61" s="9">
        <v>67.94</v>
      </c>
      <c r="AC61" s="104">
        <v>1437500</v>
      </c>
      <c r="AD61" s="9">
        <v>67.63</v>
      </c>
      <c r="AE61" s="2">
        <f t="shared" si="0"/>
        <v>0.78000000000000114</v>
      </c>
      <c r="AF61" s="138">
        <f t="shared" si="1"/>
        <v>4.9034175334323749E-3</v>
      </c>
    </row>
    <row r="62" spans="1:32" x14ac:dyDescent="0.25">
      <c r="X62" s="110">
        <v>42668</v>
      </c>
      <c r="Y62" s="9">
        <v>67.72</v>
      </c>
      <c r="Z62" s="9">
        <v>67.88</v>
      </c>
      <c r="AA62" s="9">
        <v>67.400000000000006</v>
      </c>
      <c r="AB62" s="9">
        <v>67.61</v>
      </c>
      <c r="AC62" s="104">
        <v>1114100</v>
      </c>
      <c r="AD62" s="9">
        <v>67.3</v>
      </c>
      <c r="AE62" s="2">
        <f t="shared" si="0"/>
        <v>0.47999999999998977</v>
      </c>
      <c r="AF62" s="138">
        <f t="shared" si="1"/>
        <v>-1.631805370123085E-3</v>
      </c>
    </row>
    <row r="63" spans="1:32" x14ac:dyDescent="0.25">
      <c r="X63" s="110">
        <v>42667</v>
      </c>
      <c r="Y63" s="9">
        <v>67.91</v>
      </c>
      <c r="Z63" s="9">
        <v>68.13</v>
      </c>
      <c r="AA63" s="9">
        <v>67.63</v>
      </c>
      <c r="AB63" s="9">
        <v>67.72</v>
      </c>
      <c r="AC63" s="104">
        <v>967100</v>
      </c>
      <c r="AD63" s="9">
        <v>67.41</v>
      </c>
      <c r="AE63" s="2">
        <f t="shared" si="0"/>
        <v>0.5</v>
      </c>
      <c r="AF63" s="138">
        <f t="shared" si="1"/>
        <v>2.5282569898870122E-3</v>
      </c>
    </row>
    <row r="64" spans="1:32" x14ac:dyDescent="0.25">
      <c r="X64" s="110">
        <v>42664</v>
      </c>
      <c r="Y64" s="9">
        <v>67.819999999999993</v>
      </c>
      <c r="Z64" s="9">
        <v>67.98</v>
      </c>
      <c r="AA64" s="9">
        <v>67.23</v>
      </c>
      <c r="AB64" s="9">
        <v>67.55</v>
      </c>
      <c r="AC64" s="104">
        <v>2279000</v>
      </c>
      <c r="AD64" s="9">
        <v>67.239999999999995</v>
      </c>
      <c r="AE64" s="2">
        <f t="shared" si="0"/>
        <v>0.75</v>
      </c>
      <c r="AF64" s="138">
        <f t="shared" si="1"/>
        <v>-1.0011778563015383E-2</v>
      </c>
    </row>
    <row r="65" spans="24:32" x14ac:dyDescent="0.25">
      <c r="X65" s="110">
        <v>42663</v>
      </c>
      <c r="Y65" s="9">
        <v>68.959999999999994</v>
      </c>
      <c r="Z65" s="9">
        <v>69.12</v>
      </c>
      <c r="AA65" s="9">
        <v>68.2</v>
      </c>
      <c r="AB65" s="9">
        <v>68.23</v>
      </c>
      <c r="AC65" s="104">
        <v>2370400</v>
      </c>
      <c r="AD65" s="9">
        <v>67.92</v>
      </c>
      <c r="AE65" s="2">
        <f t="shared" si="0"/>
        <v>0.92000000000000171</v>
      </c>
      <c r="AF65" s="138">
        <f t="shared" si="1"/>
        <v>-1.7218926349298225E-2</v>
      </c>
    </row>
    <row r="66" spans="24:32" x14ac:dyDescent="0.25">
      <c r="X66" s="110">
        <v>42662</v>
      </c>
      <c r="Y66" s="9">
        <v>69.38</v>
      </c>
      <c r="Z66" s="9">
        <v>69.48</v>
      </c>
      <c r="AA66" s="9">
        <v>68.8</v>
      </c>
      <c r="AB66" s="9">
        <v>69.430000000000007</v>
      </c>
      <c r="AC66" s="104">
        <v>1528600</v>
      </c>
      <c r="AD66" s="9">
        <v>69.11</v>
      </c>
      <c r="AE66" s="2">
        <f t="shared" si="0"/>
        <v>0.68000000000000682</v>
      </c>
      <c r="AF66" s="138">
        <f t="shared" si="1"/>
        <v>2.0298680585761897E-3</v>
      </c>
    </row>
    <row r="67" spans="24:32" x14ac:dyDescent="0.25">
      <c r="X67" s="110">
        <v>42661</v>
      </c>
      <c r="Y67" s="9">
        <v>69.86</v>
      </c>
      <c r="Z67" s="9">
        <v>69.94</v>
      </c>
      <c r="AA67" s="9">
        <v>69.19</v>
      </c>
      <c r="AB67" s="9">
        <v>69.290000000000006</v>
      </c>
      <c r="AC67" s="104">
        <v>1301200</v>
      </c>
      <c r="AD67" s="9">
        <v>68.97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42660</v>
      </c>
      <c r="Y68" s="9">
        <v>69.34</v>
      </c>
      <c r="Z68" s="9">
        <v>69.59</v>
      </c>
      <c r="AA68" s="9">
        <v>69.209999999999994</v>
      </c>
      <c r="AB68" s="9">
        <v>69.34</v>
      </c>
      <c r="AC68" s="104">
        <v>1188200</v>
      </c>
      <c r="AD68" s="9">
        <v>69.02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42755</v>
      </c>
      <c r="X2" s="40">
        <v>113.68</v>
      </c>
      <c r="Y2" s="40">
        <v>113.8</v>
      </c>
      <c r="Z2" s="40">
        <v>111.75</v>
      </c>
      <c r="AA2" s="40">
        <v>113.59</v>
      </c>
      <c r="AB2" s="95">
        <v>2586300</v>
      </c>
      <c r="AC2" s="40">
        <v>113.59</v>
      </c>
      <c r="AD2" s="2">
        <f>Y2-Z2</f>
        <v>2.0499999999999972</v>
      </c>
      <c r="AE2" s="138">
        <f>AC2/AC3-1</f>
        <v>-7.2539765775213594E-3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113.59</v>
      </c>
      <c r="W3" s="157">
        <v>42754</v>
      </c>
      <c r="X3" s="40">
        <v>115.57</v>
      </c>
      <c r="Y3" s="40">
        <v>116</v>
      </c>
      <c r="Z3" s="40">
        <v>112.56</v>
      </c>
      <c r="AA3" s="40">
        <v>114.42</v>
      </c>
      <c r="AB3" s="95">
        <v>5852900</v>
      </c>
      <c r="AC3" s="40">
        <v>114.42</v>
      </c>
      <c r="AD3" s="2">
        <f t="shared" ref="AD3:AD66" si="0">Y3-Z3</f>
        <v>3.4399999999999977</v>
      </c>
      <c r="AE3" s="138">
        <f t="shared" ref="AE3:AE66" si="1">AC3/AC4-1</f>
        <v>4.0465581522233451E-2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113.59</v>
      </c>
      <c r="R4" s="505">
        <v>-7.3000000000000001E-3</v>
      </c>
      <c r="W4" s="157">
        <v>42753</v>
      </c>
      <c r="X4" s="40">
        <v>106.96</v>
      </c>
      <c r="Y4" s="40">
        <v>110.04</v>
      </c>
      <c r="Z4" s="40">
        <v>105.89</v>
      </c>
      <c r="AA4" s="40">
        <v>109.97</v>
      </c>
      <c r="AB4" s="95">
        <v>2516600</v>
      </c>
      <c r="AC4" s="40">
        <v>109.97</v>
      </c>
      <c r="AD4" s="2">
        <f t="shared" si="0"/>
        <v>4.1500000000000057</v>
      </c>
      <c r="AE4" s="138">
        <f t="shared" si="1"/>
        <v>9.8255280073460405E-3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42752</v>
      </c>
      <c r="X5" s="40">
        <v>111.18</v>
      </c>
      <c r="Y5" s="40">
        <v>111.45</v>
      </c>
      <c r="Z5" s="40">
        <v>108.47</v>
      </c>
      <c r="AA5" s="40">
        <v>108.9</v>
      </c>
      <c r="AB5" s="95">
        <v>1863600</v>
      </c>
      <c r="AC5" s="40">
        <v>108.9</v>
      </c>
      <c r="AD5" s="2">
        <f t="shared" si="0"/>
        <v>2.980000000000004</v>
      </c>
      <c r="AE5" s="138">
        <f t="shared" si="1"/>
        <v>-2.4106102697374343E-2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42748</v>
      </c>
      <c r="X6" s="40">
        <v>111.01</v>
      </c>
      <c r="Y6" s="40">
        <v>111.85</v>
      </c>
      <c r="Z6" s="40">
        <v>110.55</v>
      </c>
      <c r="AA6" s="40">
        <v>111.59</v>
      </c>
      <c r="AB6" s="95">
        <v>1679600</v>
      </c>
      <c r="AC6" s="40">
        <v>111.59</v>
      </c>
      <c r="AD6" s="2">
        <f t="shared" si="0"/>
        <v>1.2999999999999972</v>
      </c>
      <c r="AE6" s="138">
        <f t="shared" si="1"/>
        <v>5.2247545266193018E-3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42747</v>
      </c>
      <c r="X7" s="40">
        <v>110.61</v>
      </c>
      <c r="Y7" s="40">
        <v>111.44</v>
      </c>
      <c r="Z7" s="40">
        <v>109.36</v>
      </c>
      <c r="AA7" s="40">
        <v>111.01</v>
      </c>
      <c r="AB7" s="95">
        <v>1239600</v>
      </c>
      <c r="AC7" s="40">
        <v>111.01</v>
      </c>
      <c r="AD7" s="2">
        <f t="shared" si="0"/>
        <v>2.0799999999999983</v>
      </c>
      <c r="AE7" s="138">
        <f t="shared" si="1"/>
        <v>4.1610131162370667E-3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42746</v>
      </c>
      <c r="X8" s="40">
        <v>109.35</v>
      </c>
      <c r="Y8" s="40">
        <v>110.65</v>
      </c>
      <c r="Z8" s="40">
        <v>108.77</v>
      </c>
      <c r="AA8" s="40">
        <v>110.55</v>
      </c>
      <c r="AB8" s="95">
        <v>1176700</v>
      </c>
      <c r="AC8" s="40">
        <v>110.55</v>
      </c>
      <c r="AD8" s="2">
        <f t="shared" si="0"/>
        <v>1.8800000000000097</v>
      </c>
      <c r="AE8" s="138">
        <f t="shared" si="1"/>
        <v>1.1806699615595662E-2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57">
        <v>42745</v>
      </c>
      <c r="X9" s="40">
        <v>109.23</v>
      </c>
      <c r="Y9" s="40">
        <v>110.05</v>
      </c>
      <c r="Z9" s="40">
        <v>108.33</v>
      </c>
      <c r="AA9" s="40">
        <v>109.26</v>
      </c>
      <c r="AB9" s="95">
        <v>1787400</v>
      </c>
      <c r="AC9" s="40">
        <v>109.26</v>
      </c>
      <c r="AD9" s="2">
        <f t="shared" si="0"/>
        <v>1.7199999999999989</v>
      </c>
      <c r="AE9" s="138">
        <f t="shared" si="1"/>
        <v>7.3273493313785742E-4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M33</f>
        <v>-168.6200000000008</v>
      </c>
      <c r="W10" s="157">
        <v>42744</v>
      </c>
      <c r="X10" s="40">
        <v>110.89</v>
      </c>
      <c r="Y10" s="40">
        <v>110.89</v>
      </c>
      <c r="Z10" s="40">
        <v>108.28</v>
      </c>
      <c r="AA10" s="40">
        <v>109.18</v>
      </c>
      <c r="AB10" s="95">
        <v>1972000</v>
      </c>
      <c r="AC10" s="40">
        <v>109.18</v>
      </c>
      <c r="AD10" s="2">
        <f t="shared" si="0"/>
        <v>2.6099999999999994</v>
      </c>
      <c r="AE10" s="138">
        <f t="shared" si="1"/>
        <v>-2.2210281210818472E-2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2.0799999999999999E-2</v>
      </c>
      <c r="W11" s="157">
        <v>42741</v>
      </c>
      <c r="X11" s="40">
        <v>110.18</v>
      </c>
      <c r="Y11" s="40">
        <v>112.99</v>
      </c>
      <c r="Z11" s="40">
        <v>109.92</v>
      </c>
      <c r="AA11" s="40">
        <v>111.66</v>
      </c>
      <c r="AB11" s="95">
        <v>1958800</v>
      </c>
      <c r="AC11" s="40">
        <v>111.66</v>
      </c>
      <c r="AD11" s="2">
        <f t="shared" si="0"/>
        <v>3.0699999999999932</v>
      </c>
      <c r="AE11" s="138">
        <f t="shared" si="1"/>
        <v>1.2421797080424346E-2</v>
      </c>
    </row>
    <row r="12" spans="1:31" x14ac:dyDescent="0.25">
      <c r="W12" s="157">
        <v>42740</v>
      </c>
      <c r="X12" s="40">
        <v>110.18</v>
      </c>
      <c r="Y12" s="40">
        <v>111.65</v>
      </c>
      <c r="Z12" s="40">
        <v>110.16</v>
      </c>
      <c r="AA12" s="40">
        <v>110.29</v>
      </c>
      <c r="AB12" s="95">
        <v>3135300</v>
      </c>
      <c r="AC12" s="40">
        <v>110.29</v>
      </c>
      <c r="AD12" s="2">
        <f t="shared" si="0"/>
        <v>1.4900000000000091</v>
      </c>
      <c r="AE12" s="138">
        <f t="shared" si="1"/>
        <v>-3.1634128705712028E-3</v>
      </c>
    </row>
    <row r="13" spans="1:31" x14ac:dyDescent="0.25">
      <c r="W13" s="157">
        <v>42739</v>
      </c>
      <c r="X13" s="40">
        <v>107.57</v>
      </c>
      <c r="Y13" s="40">
        <v>110.98</v>
      </c>
      <c r="Z13" s="40">
        <v>107.15</v>
      </c>
      <c r="AA13" s="40">
        <v>110.64</v>
      </c>
      <c r="AB13" s="95">
        <v>2636000</v>
      </c>
      <c r="AC13" s="40">
        <v>110.64</v>
      </c>
      <c r="AD13" s="2">
        <f t="shared" si="0"/>
        <v>3.8299999999999983</v>
      </c>
      <c r="AE13" s="138">
        <f t="shared" si="1"/>
        <v>3.4115337882045127E-2</v>
      </c>
    </row>
    <row r="14" spans="1:31" x14ac:dyDescent="0.25">
      <c r="W14" s="157">
        <v>42738</v>
      </c>
      <c r="X14" s="40">
        <v>108.91</v>
      </c>
      <c r="Y14" s="40">
        <v>109.52</v>
      </c>
      <c r="Z14" s="40">
        <v>106.15</v>
      </c>
      <c r="AA14" s="40">
        <v>106.99</v>
      </c>
      <c r="AB14" s="95">
        <v>1756300</v>
      </c>
      <c r="AC14" s="40">
        <v>106.99</v>
      </c>
      <c r="AD14" s="2">
        <f t="shared" si="0"/>
        <v>3.3699999999999903</v>
      </c>
      <c r="AE14" s="138">
        <f t="shared" si="1"/>
        <v>-9.9935227167576857E-3</v>
      </c>
    </row>
    <row r="15" spans="1:31" x14ac:dyDescent="0.25">
      <c r="W15" s="157">
        <v>42734</v>
      </c>
      <c r="X15" s="40">
        <v>108.85</v>
      </c>
      <c r="Y15" s="40">
        <v>108.99</v>
      </c>
      <c r="Z15" s="40">
        <v>107.5</v>
      </c>
      <c r="AA15" s="40">
        <v>108.07</v>
      </c>
      <c r="AB15" s="95">
        <v>1487300</v>
      </c>
      <c r="AC15" s="40">
        <v>108.07</v>
      </c>
      <c r="AD15" s="2">
        <f t="shared" si="0"/>
        <v>1.4899999999999949</v>
      </c>
      <c r="AE15" s="138">
        <f t="shared" si="1"/>
        <v>-6.8921154199595991E-3</v>
      </c>
    </row>
    <row r="16" spans="1:31" x14ac:dyDescent="0.25">
      <c r="W16" s="157">
        <v>42733</v>
      </c>
      <c r="X16" s="40">
        <v>108.86</v>
      </c>
      <c r="Y16" s="40">
        <v>109.32</v>
      </c>
      <c r="Z16" s="40">
        <v>107.77</v>
      </c>
      <c r="AA16" s="40">
        <v>108.82</v>
      </c>
      <c r="AB16" s="95">
        <v>926800</v>
      </c>
      <c r="AC16" s="40">
        <v>108.82</v>
      </c>
      <c r="AD16" s="2">
        <f t="shared" si="0"/>
        <v>1.5499999999999972</v>
      </c>
      <c r="AE16" s="138">
        <f t="shared" si="1"/>
        <v>9.1979396615160525E-4</v>
      </c>
    </row>
    <row r="17" spans="1:31" x14ac:dyDescent="0.25">
      <c r="W17" s="157">
        <v>42732</v>
      </c>
      <c r="X17" s="40">
        <v>109.41</v>
      </c>
      <c r="Y17" s="40">
        <v>110.26</v>
      </c>
      <c r="Z17" s="40">
        <v>108.62</v>
      </c>
      <c r="AA17" s="40">
        <v>108.72</v>
      </c>
      <c r="AB17" s="95">
        <v>1022900</v>
      </c>
      <c r="AC17" s="40">
        <v>108.72</v>
      </c>
      <c r="AD17" s="2">
        <f t="shared" si="0"/>
        <v>1.6400000000000006</v>
      </c>
      <c r="AE17" s="138">
        <f t="shared" si="1"/>
        <v>-6.6697121973504636E-3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42731</v>
      </c>
      <c r="X18" s="40">
        <v>109.34</v>
      </c>
      <c r="Y18" s="40">
        <v>109.87</v>
      </c>
      <c r="Z18" s="40">
        <v>109.32</v>
      </c>
      <c r="AA18" s="40">
        <v>109.45</v>
      </c>
      <c r="AB18" s="95">
        <v>751500</v>
      </c>
      <c r="AC18" s="40">
        <v>109.45</v>
      </c>
      <c r="AD18" s="2">
        <f t="shared" si="0"/>
        <v>0.55000000000001137</v>
      </c>
      <c r="AE18" s="138">
        <f t="shared" si="1"/>
        <v>1.5556368960467637E-3</v>
      </c>
    </row>
    <row r="19" spans="1:31" x14ac:dyDescent="0.25">
      <c r="W19" s="157">
        <v>42727</v>
      </c>
      <c r="X19" s="40">
        <v>108.66</v>
      </c>
      <c r="Y19" s="40">
        <v>109.79</v>
      </c>
      <c r="Z19" s="40">
        <v>108.19</v>
      </c>
      <c r="AA19" s="40">
        <v>109.28</v>
      </c>
      <c r="AB19" s="95">
        <v>2077100</v>
      </c>
      <c r="AC19" s="40">
        <v>109.28</v>
      </c>
      <c r="AD19" s="2">
        <f t="shared" si="0"/>
        <v>1.6000000000000085</v>
      </c>
      <c r="AE19" s="138">
        <f t="shared" si="1"/>
        <v>4.5964331678618464E-3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42726</v>
      </c>
      <c r="X20" s="40">
        <v>107.65</v>
      </c>
      <c r="Y20" s="40">
        <v>108.79</v>
      </c>
      <c r="Z20" s="40">
        <v>107.46</v>
      </c>
      <c r="AA20" s="40">
        <v>108.78</v>
      </c>
      <c r="AB20" s="95">
        <v>1567300</v>
      </c>
      <c r="AC20" s="40">
        <v>108.78</v>
      </c>
      <c r="AD20" s="2">
        <f t="shared" si="0"/>
        <v>1.3300000000000125</v>
      </c>
      <c r="AE20" s="138">
        <f t="shared" si="1"/>
        <v>6.7561314206385781E-3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42725</v>
      </c>
      <c r="X21" s="40">
        <v>108.33</v>
      </c>
      <c r="Y21" s="40">
        <v>108.98</v>
      </c>
      <c r="Z21" s="40">
        <v>107.57</v>
      </c>
      <c r="AA21" s="40">
        <v>108.05</v>
      </c>
      <c r="AB21" s="95">
        <v>1292200</v>
      </c>
      <c r="AC21" s="40">
        <v>108.05</v>
      </c>
      <c r="AD21" s="2">
        <f t="shared" si="0"/>
        <v>1.4100000000000108</v>
      </c>
      <c r="AE21" s="138">
        <f t="shared" si="1"/>
        <v>-1.1093648886013607E-3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42724</v>
      </c>
      <c r="X22" s="40">
        <v>107.25</v>
      </c>
      <c r="Y22" s="40">
        <v>108.35</v>
      </c>
      <c r="Z22" s="40">
        <v>107.05</v>
      </c>
      <c r="AA22" s="40">
        <v>108.17</v>
      </c>
      <c r="AB22" s="95">
        <v>1196400</v>
      </c>
      <c r="AC22" s="40">
        <v>108.17</v>
      </c>
      <c r="AD22" s="2">
        <f t="shared" si="0"/>
        <v>1.2999999999999972</v>
      </c>
      <c r="AE22" s="138">
        <f t="shared" si="1"/>
        <v>1.1596371457962995E-2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42723</v>
      </c>
      <c r="X23" s="40">
        <v>106.56</v>
      </c>
      <c r="Y23" s="40">
        <v>107.17</v>
      </c>
      <c r="Z23" s="40">
        <v>106.17</v>
      </c>
      <c r="AA23" s="40">
        <v>106.93</v>
      </c>
      <c r="AB23" s="95">
        <v>1299700</v>
      </c>
      <c r="AC23" s="40">
        <v>106.93</v>
      </c>
      <c r="AD23" s="2">
        <f t="shared" si="0"/>
        <v>1</v>
      </c>
      <c r="AE23" s="138">
        <f t="shared" si="1"/>
        <v>2.4374238305053808E-3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42720</v>
      </c>
      <c r="X24" s="40">
        <v>108.09</v>
      </c>
      <c r="Y24" s="40">
        <v>108.18</v>
      </c>
      <c r="Z24" s="40">
        <v>106.11</v>
      </c>
      <c r="AA24" s="40">
        <v>106.67</v>
      </c>
      <c r="AB24" s="95">
        <v>2553000</v>
      </c>
      <c r="AC24" s="40">
        <v>106.67</v>
      </c>
      <c r="AD24" s="2">
        <f t="shared" si="0"/>
        <v>2.0700000000000074</v>
      </c>
      <c r="AE24" s="138">
        <f t="shared" si="1"/>
        <v>-1.3319766904079211E-2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42719</v>
      </c>
      <c r="X25" s="40">
        <v>107.23</v>
      </c>
      <c r="Y25" s="40">
        <v>109.24</v>
      </c>
      <c r="Z25" s="40">
        <v>106.79</v>
      </c>
      <c r="AA25" s="40">
        <v>108.11</v>
      </c>
      <c r="AB25" s="95">
        <v>1374800</v>
      </c>
      <c r="AC25" s="40">
        <v>108.11</v>
      </c>
      <c r="AD25" s="2">
        <f t="shared" si="0"/>
        <v>2.4499999999999886</v>
      </c>
      <c r="AE25" s="138">
        <f t="shared" si="1"/>
        <v>4.9265662762596474E-3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42718</v>
      </c>
      <c r="X26" s="40">
        <v>109.54</v>
      </c>
      <c r="Y26" s="40">
        <v>110.24</v>
      </c>
      <c r="Z26" s="40">
        <v>107.46</v>
      </c>
      <c r="AA26" s="40">
        <v>107.58</v>
      </c>
      <c r="AB26" s="95">
        <v>1839900</v>
      </c>
      <c r="AC26" s="40">
        <v>107.58</v>
      </c>
      <c r="AD26" s="2">
        <f t="shared" si="0"/>
        <v>2.7800000000000011</v>
      </c>
      <c r="AE26" s="138">
        <f t="shared" si="1"/>
        <v>-2.0486205954657222E-2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42717</v>
      </c>
      <c r="X27" s="40">
        <v>110.83</v>
      </c>
      <c r="Y27" s="40">
        <v>111.39</v>
      </c>
      <c r="Z27" s="40">
        <v>108.45</v>
      </c>
      <c r="AA27" s="40">
        <v>109.83</v>
      </c>
      <c r="AB27" s="95">
        <v>1744000</v>
      </c>
      <c r="AC27" s="40">
        <v>109.83</v>
      </c>
      <c r="AD27" s="2">
        <f t="shared" si="0"/>
        <v>2.9399999999999977</v>
      </c>
      <c r="AE27" s="138">
        <f t="shared" si="1"/>
        <v>-7.7694462011022036E-3</v>
      </c>
    </row>
    <row r="28" spans="1:31" x14ac:dyDescent="0.25">
      <c r="W28" s="157">
        <v>42716</v>
      </c>
      <c r="X28" s="40">
        <v>110.78</v>
      </c>
      <c r="Y28" s="40">
        <v>111.43</v>
      </c>
      <c r="Z28" s="40">
        <v>109.4</v>
      </c>
      <c r="AA28" s="40">
        <v>110.69</v>
      </c>
      <c r="AB28" s="95">
        <v>1854500</v>
      </c>
      <c r="AC28" s="40">
        <v>110.69</v>
      </c>
      <c r="AD28" s="2">
        <f t="shared" si="0"/>
        <v>2.0300000000000011</v>
      </c>
      <c r="AE28" s="138">
        <f t="shared" si="1"/>
        <v>8.1374321880645084E-4</v>
      </c>
    </row>
    <row r="29" spans="1:31" x14ac:dyDescent="0.25">
      <c r="W29" s="157">
        <v>42713</v>
      </c>
      <c r="X29" s="40">
        <v>109.89</v>
      </c>
      <c r="Y29" s="40">
        <v>110.72</v>
      </c>
      <c r="Z29" s="40">
        <v>109.13</v>
      </c>
      <c r="AA29" s="40">
        <v>110.6</v>
      </c>
      <c r="AB29" s="95">
        <v>1457000</v>
      </c>
      <c r="AC29" s="40">
        <v>110.6</v>
      </c>
      <c r="AD29" s="2">
        <f t="shared" si="0"/>
        <v>1.5900000000000034</v>
      </c>
      <c r="AE29" s="138">
        <f t="shared" si="1"/>
        <v>5.2717687693146775E-3</v>
      </c>
    </row>
    <row r="30" spans="1:31" x14ac:dyDescent="0.25">
      <c r="W30" s="157">
        <v>42712</v>
      </c>
      <c r="X30" s="40">
        <v>109.88</v>
      </c>
      <c r="Y30" s="40">
        <v>110.38</v>
      </c>
      <c r="Z30" s="40">
        <v>109</v>
      </c>
      <c r="AA30" s="40">
        <v>110.02</v>
      </c>
      <c r="AB30" s="95">
        <v>1360500</v>
      </c>
      <c r="AC30" s="40">
        <v>110.02</v>
      </c>
      <c r="AD30" s="2">
        <f t="shared" si="0"/>
        <v>1.3799999999999955</v>
      </c>
      <c r="AE30" s="138">
        <f t="shared" si="1"/>
        <v>2.4601366742595943E-3</v>
      </c>
    </row>
    <row r="31" spans="1:31" x14ac:dyDescent="0.25">
      <c r="W31" s="157">
        <v>42711</v>
      </c>
      <c r="X31" s="40">
        <v>106.64</v>
      </c>
      <c r="Y31" s="40">
        <v>109.86</v>
      </c>
      <c r="Z31" s="40">
        <v>106.05</v>
      </c>
      <c r="AA31" s="40">
        <v>109.75</v>
      </c>
      <c r="AB31" s="95">
        <v>1906400</v>
      </c>
      <c r="AC31" s="40">
        <v>109.75</v>
      </c>
      <c r="AD31" s="2">
        <f t="shared" si="0"/>
        <v>3.8100000000000023</v>
      </c>
      <c r="AE31" s="138">
        <f t="shared" si="1"/>
        <v>3.3330194896902476E-2</v>
      </c>
    </row>
    <row r="32" spans="1:31" x14ac:dyDescent="0.25">
      <c r="W32" s="157">
        <v>42710</v>
      </c>
      <c r="X32" s="40">
        <v>105.96</v>
      </c>
      <c r="Y32" s="40">
        <v>106.25</v>
      </c>
      <c r="Z32" s="40">
        <v>105.16</v>
      </c>
      <c r="AA32" s="40">
        <v>106.21</v>
      </c>
      <c r="AB32" s="95">
        <v>1349600</v>
      </c>
      <c r="AC32" s="40">
        <v>106.21</v>
      </c>
      <c r="AD32" s="2">
        <f t="shared" si="0"/>
        <v>1.0900000000000034</v>
      </c>
      <c r="AE32" s="138">
        <f t="shared" si="1"/>
        <v>2.3593808984523346E-3</v>
      </c>
    </row>
    <row r="33" spans="1:31" x14ac:dyDescent="0.25">
      <c r="L33" t="s">
        <v>65</v>
      </c>
      <c r="M33" s="2">
        <f>K51+M51-F51</f>
        <v>-168.6200000000008</v>
      </c>
      <c r="W33" s="157">
        <v>42709</v>
      </c>
      <c r="X33" s="40">
        <v>106.2</v>
      </c>
      <c r="Y33" s="40">
        <v>106.92</v>
      </c>
      <c r="Z33" s="40">
        <v>105.62</v>
      </c>
      <c r="AA33" s="40">
        <v>105.96</v>
      </c>
      <c r="AB33" s="95">
        <v>1743100</v>
      </c>
      <c r="AC33" s="40">
        <v>105.96</v>
      </c>
      <c r="AD33" s="2">
        <f t="shared" si="0"/>
        <v>1.2999999999999972</v>
      </c>
      <c r="AE33" s="138">
        <f t="shared" si="1"/>
        <v>3.4090909090909172E-3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42706</v>
      </c>
      <c r="X34" s="40">
        <v>106.65</v>
      </c>
      <c r="Y34" s="40">
        <v>107.1</v>
      </c>
      <c r="Z34" s="40">
        <v>105.09</v>
      </c>
      <c r="AA34" s="40">
        <v>105.6</v>
      </c>
      <c r="AB34" s="95">
        <v>1781800</v>
      </c>
      <c r="AC34" s="40">
        <v>105.6</v>
      </c>
      <c r="AD34" s="2">
        <f t="shared" si="0"/>
        <v>2.0099999999999909</v>
      </c>
      <c r="AE34" s="138">
        <f t="shared" si="1"/>
        <v>-1.1513619769727645E-2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42705</v>
      </c>
      <c r="X35" s="40">
        <v>106.87</v>
      </c>
      <c r="Y35" s="40">
        <v>107.89</v>
      </c>
      <c r="Z35" s="40">
        <v>106.58</v>
      </c>
      <c r="AA35" s="40">
        <v>106.83</v>
      </c>
      <c r="AB35" s="95">
        <v>2058200</v>
      </c>
      <c r="AC35" s="40">
        <v>106.83</v>
      </c>
      <c r="AD35" s="2">
        <f t="shared" si="0"/>
        <v>1.3100000000000023</v>
      </c>
      <c r="AE35" s="138">
        <f t="shared" si="1"/>
        <v>3.4754837497652513E-3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42704</v>
      </c>
      <c r="X36" s="40">
        <v>105</v>
      </c>
      <c r="Y36" s="40">
        <v>107.32</v>
      </c>
      <c r="Z36" s="40">
        <v>104.75</v>
      </c>
      <c r="AA36" s="40">
        <v>106.46</v>
      </c>
      <c r="AB36" s="95">
        <v>3328200</v>
      </c>
      <c r="AC36" s="40">
        <v>106.46</v>
      </c>
      <c r="AD36" s="2">
        <f t="shared" si="0"/>
        <v>2.5699999999999932</v>
      </c>
      <c r="AE36" s="138">
        <f t="shared" si="1"/>
        <v>2.0024911372999776E-2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42703</v>
      </c>
      <c r="X37" s="40">
        <v>103.82</v>
      </c>
      <c r="Y37" s="40">
        <v>104.86</v>
      </c>
      <c r="Z37" s="40">
        <v>103.23</v>
      </c>
      <c r="AA37" s="40">
        <v>104.37</v>
      </c>
      <c r="AB37" s="95">
        <v>2258800</v>
      </c>
      <c r="AC37" s="40">
        <v>104.37</v>
      </c>
      <c r="AD37" s="2">
        <f t="shared" si="0"/>
        <v>1.6299999999999955</v>
      </c>
      <c r="AE37" s="138">
        <f t="shared" si="1"/>
        <v>3.6541975189923193E-3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42702</v>
      </c>
      <c r="X38" s="40">
        <v>103.72</v>
      </c>
      <c r="Y38" s="40">
        <v>104.24</v>
      </c>
      <c r="Z38" s="40">
        <v>102.77</v>
      </c>
      <c r="AA38" s="40">
        <v>103.99</v>
      </c>
      <c r="AB38" s="95">
        <v>1620900</v>
      </c>
      <c r="AC38" s="40">
        <v>103.99</v>
      </c>
      <c r="AD38" s="2">
        <f t="shared" si="0"/>
        <v>1.4699999999999989</v>
      </c>
      <c r="AE38" s="138">
        <f t="shared" si="1"/>
        <v>-3.3544182480353957E-3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42699</v>
      </c>
      <c r="X39" s="40">
        <v>104.24</v>
      </c>
      <c r="Y39" s="40">
        <v>104.56</v>
      </c>
      <c r="Z39" s="40">
        <v>103.91</v>
      </c>
      <c r="AA39" s="40">
        <v>104.34</v>
      </c>
      <c r="AB39" s="95">
        <v>919900</v>
      </c>
      <c r="AC39" s="40">
        <v>104.34</v>
      </c>
      <c r="AD39" s="2">
        <f t="shared" si="0"/>
        <v>0.65000000000000568</v>
      </c>
      <c r="AE39" s="138">
        <f t="shared" si="1"/>
        <v>2.8835063437140374E-3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42697</v>
      </c>
      <c r="X40" s="40">
        <v>103.75</v>
      </c>
      <c r="Y40" s="40">
        <v>104.77</v>
      </c>
      <c r="Z40" s="40">
        <v>103.75</v>
      </c>
      <c r="AA40" s="40">
        <v>104.04</v>
      </c>
      <c r="AB40" s="95">
        <v>1505300</v>
      </c>
      <c r="AC40" s="40">
        <v>104.04</v>
      </c>
      <c r="AD40" s="2">
        <f t="shared" si="0"/>
        <v>1.019999999999996</v>
      </c>
      <c r="AE40" s="138">
        <f t="shared" si="1"/>
        <v>1.1547344110856006E-3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42696</v>
      </c>
      <c r="X41" s="40">
        <v>104.93</v>
      </c>
      <c r="Y41" s="40">
        <v>105.5</v>
      </c>
      <c r="Z41" s="40">
        <v>103.75</v>
      </c>
      <c r="AA41" s="40">
        <v>103.92</v>
      </c>
      <c r="AB41" s="95">
        <v>1821300</v>
      </c>
      <c r="AC41" s="40">
        <v>103.92</v>
      </c>
      <c r="AD41" s="2">
        <f t="shared" si="0"/>
        <v>1.75</v>
      </c>
      <c r="AE41" s="138">
        <f t="shared" si="1"/>
        <v>-6.5009560229444263E-3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42695</v>
      </c>
      <c r="X42" s="40">
        <v>103.76</v>
      </c>
      <c r="Y42" s="40">
        <v>105.3</v>
      </c>
      <c r="Z42" s="40">
        <v>103.62</v>
      </c>
      <c r="AA42" s="40">
        <v>104.6</v>
      </c>
      <c r="AB42" s="95">
        <v>1708900</v>
      </c>
      <c r="AC42" s="40">
        <v>104.6</v>
      </c>
      <c r="AD42" s="2">
        <f t="shared" si="0"/>
        <v>1.6799999999999926</v>
      </c>
      <c r="AE42" s="138">
        <f t="shared" si="1"/>
        <v>1.1116481391976629E-2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124.94900000000001</v>
      </c>
      <c r="Q43" s="2"/>
      <c r="R43" s="34"/>
      <c r="T43" s="10" t="s">
        <v>98</v>
      </c>
      <c r="U43" s="88">
        <v>114.42</v>
      </c>
      <c r="W43" s="157">
        <v>42692</v>
      </c>
      <c r="X43" s="40">
        <v>102.93</v>
      </c>
      <c r="Y43" s="40">
        <v>103.98</v>
      </c>
      <c r="Z43" s="40">
        <v>102.76</v>
      </c>
      <c r="AA43" s="40">
        <v>103.45</v>
      </c>
      <c r="AB43" s="95">
        <v>1865900</v>
      </c>
      <c r="AC43" s="40">
        <v>103.45</v>
      </c>
      <c r="AD43" s="2">
        <f t="shared" si="0"/>
        <v>1.2199999999999989</v>
      </c>
      <c r="AE43" s="138">
        <f t="shared" si="1"/>
        <v>3.0056234244715263E-3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123.81310000000001</v>
      </c>
      <c r="Q44" s="2"/>
      <c r="R44" s="34"/>
      <c r="T44" s="10" t="s">
        <v>99</v>
      </c>
      <c r="U44" s="88">
        <v>113.66</v>
      </c>
      <c r="W44" s="157">
        <v>42691</v>
      </c>
      <c r="X44" s="40">
        <v>103</v>
      </c>
      <c r="Y44" s="40">
        <v>103.44</v>
      </c>
      <c r="Z44" s="40">
        <v>102.59</v>
      </c>
      <c r="AA44" s="40">
        <v>103.14</v>
      </c>
      <c r="AB44" s="95">
        <v>2566600</v>
      </c>
      <c r="AC44" s="40">
        <v>103.14</v>
      </c>
      <c r="AD44" s="2">
        <f t="shared" si="0"/>
        <v>0.84999999999999432</v>
      </c>
      <c r="AE44" s="138">
        <f t="shared" si="1"/>
        <v>1.3592233009709354E-3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122.67720000000001</v>
      </c>
      <c r="Q45" s="2"/>
      <c r="R45" s="34"/>
      <c r="T45" s="10" t="s">
        <v>100</v>
      </c>
      <c r="U45" s="88" t="s">
        <v>129</v>
      </c>
      <c r="W45" s="157">
        <v>42690</v>
      </c>
      <c r="X45" s="40">
        <v>104.07</v>
      </c>
      <c r="Y45" s="40">
        <v>104.38</v>
      </c>
      <c r="Z45" s="40">
        <v>102.7</v>
      </c>
      <c r="AA45" s="40">
        <v>103</v>
      </c>
      <c r="AB45" s="95">
        <v>2030900</v>
      </c>
      <c r="AC45" s="40">
        <v>103</v>
      </c>
      <c r="AD45" s="2">
        <f t="shared" si="0"/>
        <v>1.6799999999999926</v>
      </c>
      <c r="AE45" s="138">
        <f t="shared" si="1"/>
        <v>-1.5108051252629595E-2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121.54130000000001</v>
      </c>
      <c r="Q46" s="2"/>
      <c r="R46" s="34"/>
      <c r="T46" s="10" t="s">
        <v>101</v>
      </c>
      <c r="U46" s="88" t="s">
        <v>129</v>
      </c>
      <c r="W46" s="157">
        <v>42689</v>
      </c>
      <c r="X46" s="40">
        <v>103.99</v>
      </c>
      <c r="Y46" s="40">
        <v>104.78</v>
      </c>
      <c r="Z46" s="40">
        <v>102.79</v>
      </c>
      <c r="AA46" s="40">
        <v>104.58</v>
      </c>
      <c r="AB46" s="95">
        <v>1974200</v>
      </c>
      <c r="AC46" s="40">
        <v>104.58</v>
      </c>
      <c r="AD46" s="2">
        <f t="shared" si="0"/>
        <v>1.9899999999999949</v>
      </c>
      <c r="AE46" s="138">
        <f t="shared" si="1"/>
        <v>5.6736224636984023E-3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120.40540000000001</v>
      </c>
      <c r="Q47" s="2"/>
      <c r="R47" s="34"/>
      <c r="T47" s="10" t="s">
        <v>102</v>
      </c>
      <c r="U47" s="88">
        <v>110.54</v>
      </c>
      <c r="W47" s="157">
        <v>42688</v>
      </c>
      <c r="X47" s="40">
        <v>101</v>
      </c>
      <c r="Y47" s="40">
        <v>104.87</v>
      </c>
      <c r="Z47" s="40">
        <v>100.91</v>
      </c>
      <c r="AA47" s="40">
        <v>103.99</v>
      </c>
      <c r="AB47" s="95">
        <v>3115900</v>
      </c>
      <c r="AC47" s="40">
        <v>103.99</v>
      </c>
      <c r="AD47" s="2">
        <f t="shared" si="0"/>
        <v>3.960000000000008</v>
      </c>
      <c r="AE47" s="138">
        <f t="shared" si="1"/>
        <v>3.052224754731947E-2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119.26950000000001</v>
      </c>
      <c r="Q48" s="2"/>
      <c r="R48" s="34"/>
      <c r="T48" s="10" t="s">
        <v>103</v>
      </c>
      <c r="U48" s="88">
        <v>1.3261700000000001</v>
      </c>
      <c r="W48" s="157">
        <v>42685</v>
      </c>
      <c r="X48" s="40">
        <v>99.91</v>
      </c>
      <c r="Y48" s="40">
        <v>100.93</v>
      </c>
      <c r="Z48" s="40">
        <v>98.92</v>
      </c>
      <c r="AA48" s="40">
        <v>100.91</v>
      </c>
      <c r="AB48" s="95">
        <v>2734200</v>
      </c>
      <c r="AC48" s="40">
        <v>100.91</v>
      </c>
      <c r="AD48" s="2">
        <f t="shared" si="0"/>
        <v>2.0100000000000051</v>
      </c>
      <c r="AE48" s="138">
        <f t="shared" si="1"/>
        <v>4.0796019900497527E-3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118.1336</v>
      </c>
      <c r="Q49" s="2"/>
      <c r="R49" s="34"/>
      <c r="T49" s="10" t="s">
        <v>104</v>
      </c>
      <c r="U49" s="88" t="s">
        <v>403</v>
      </c>
      <c r="W49" s="157">
        <v>42684</v>
      </c>
      <c r="X49" s="40">
        <v>99.79</v>
      </c>
      <c r="Y49" s="40">
        <v>101.19</v>
      </c>
      <c r="Z49" s="40">
        <v>99.07</v>
      </c>
      <c r="AA49" s="40">
        <v>100.5</v>
      </c>
      <c r="AB49" s="95">
        <v>4422300</v>
      </c>
      <c r="AC49" s="40">
        <v>100.5</v>
      </c>
      <c r="AD49" s="2">
        <f t="shared" si="0"/>
        <v>2.1200000000000045</v>
      </c>
      <c r="AE49" s="138">
        <f t="shared" si="1"/>
        <v>1.7206477732793601E-2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116.99770000000001</v>
      </c>
      <c r="Q50" s="2"/>
      <c r="R50" s="34"/>
      <c r="T50" s="10"/>
      <c r="U50" s="88"/>
      <c r="W50" s="157">
        <v>42683</v>
      </c>
      <c r="X50" s="40">
        <v>95.71</v>
      </c>
      <c r="Y50" s="40">
        <v>100.73</v>
      </c>
      <c r="Z50" s="40">
        <v>95.1</v>
      </c>
      <c r="AA50" s="40">
        <v>98.8</v>
      </c>
      <c r="AB50" s="95">
        <v>5759400</v>
      </c>
      <c r="AC50" s="40">
        <v>98.8</v>
      </c>
      <c r="AD50" s="2">
        <f t="shared" si="0"/>
        <v>5.6300000000000097</v>
      </c>
      <c r="AE50" s="138">
        <f t="shared" si="1"/>
        <v>2.9166666666666563E-2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115.8618</v>
      </c>
      <c r="Q51" s="2"/>
      <c r="R51" s="34"/>
      <c r="T51" s="10" t="s">
        <v>105</v>
      </c>
      <c r="U51" s="88" t="s">
        <v>536</v>
      </c>
      <c r="W51" s="157">
        <v>42682</v>
      </c>
      <c r="X51" s="40">
        <v>94.55</v>
      </c>
      <c r="Y51" s="40">
        <v>96.34</v>
      </c>
      <c r="Z51" s="40">
        <v>94.09</v>
      </c>
      <c r="AA51" s="40">
        <v>96</v>
      </c>
      <c r="AB51" s="95">
        <v>1553900</v>
      </c>
      <c r="AC51" s="40">
        <v>96</v>
      </c>
      <c r="AD51" s="2">
        <f t="shared" si="0"/>
        <v>2.25</v>
      </c>
      <c r="AE51" s="138">
        <f t="shared" si="1"/>
        <v>1.1058451816745585E-2</v>
      </c>
    </row>
    <row r="52" spans="1:31" x14ac:dyDescent="0.25">
      <c r="O52" s="83">
        <v>1.01</v>
      </c>
      <c r="P52" s="83">
        <f t="shared" si="3"/>
        <v>114.72590000000001</v>
      </c>
      <c r="Q52" s="2"/>
      <c r="R52" s="34"/>
      <c r="T52" s="10" t="s">
        <v>106</v>
      </c>
      <c r="U52" s="88" t="s">
        <v>446</v>
      </c>
      <c r="W52" s="157">
        <v>42681</v>
      </c>
      <c r="X52" s="40">
        <v>92.49</v>
      </c>
      <c r="Y52" s="40">
        <v>94.99</v>
      </c>
      <c r="Z52" s="40">
        <v>92.49</v>
      </c>
      <c r="AA52" s="40">
        <v>94.95</v>
      </c>
      <c r="AB52" s="95">
        <v>1481900</v>
      </c>
      <c r="AC52" s="40">
        <v>94.95</v>
      </c>
      <c r="AD52" s="2">
        <f t="shared" si="0"/>
        <v>2.5</v>
      </c>
      <c r="AE52" s="138">
        <f t="shared" si="1"/>
        <v>3.6345776031434074E-2</v>
      </c>
    </row>
    <row r="53" spans="1:31" x14ac:dyDescent="0.25">
      <c r="O53" s="83">
        <v>1</v>
      </c>
      <c r="P53" s="83">
        <f t="shared" si="3"/>
        <v>113.59</v>
      </c>
      <c r="Q53" s="2"/>
      <c r="R53" s="34"/>
      <c r="T53" s="10" t="s">
        <v>107</v>
      </c>
      <c r="U53" s="90">
        <v>2656391</v>
      </c>
      <c r="W53" s="157">
        <v>42678</v>
      </c>
      <c r="X53" s="40">
        <v>91.79</v>
      </c>
      <c r="Y53" s="40">
        <v>92.39</v>
      </c>
      <c r="Z53" s="40">
        <v>91.28</v>
      </c>
      <c r="AA53" s="40">
        <v>91.62</v>
      </c>
      <c r="AB53" s="95">
        <v>762600</v>
      </c>
      <c r="AC53" s="40">
        <v>91.62</v>
      </c>
      <c r="AD53" s="2">
        <f t="shared" si="0"/>
        <v>1.1099999999999994</v>
      </c>
      <c r="AE53" s="138">
        <f t="shared" si="1"/>
        <v>-1.5257192676547682E-3</v>
      </c>
    </row>
    <row r="54" spans="1:31" x14ac:dyDescent="0.25">
      <c r="O54" s="83">
        <v>0.99</v>
      </c>
      <c r="P54" s="83">
        <f t="shared" si="3"/>
        <v>112.4541</v>
      </c>
      <c r="Q54" s="2"/>
      <c r="R54" s="34"/>
      <c r="T54" s="10" t="s">
        <v>110</v>
      </c>
      <c r="U54" s="90">
        <v>1992780</v>
      </c>
      <c r="W54" s="157">
        <v>42677</v>
      </c>
      <c r="X54" s="40">
        <v>92.21</v>
      </c>
      <c r="Y54" s="40">
        <v>92.53</v>
      </c>
      <c r="Z54" s="40">
        <v>91.55</v>
      </c>
      <c r="AA54" s="40">
        <v>91.76</v>
      </c>
      <c r="AB54" s="95">
        <v>1295700</v>
      </c>
      <c r="AC54" s="40">
        <v>91.76</v>
      </c>
      <c r="AD54" s="2">
        <f t="shared" si="0"/>
        <v>0.98000000000000398</v>
      </c>
      <c r="AE54" s="138">
        <f t="shared" si="1"/>
        <v>-2.5002717686704035E-3</v>
      </c>
    </row>
    <row r="55" spans="1:31" x14ac:dyDescent="0.25">
      <c r="O55" s="83">
        <v>0.98</v>
      </c>
      <c r="P55" s="83">
        <f t="shared" si="3"/>
        <v>111.3182</v>
      </c>
      <c r="Q55" s="2"/>
      <c r="R55" s="34"/>
      <c r="T55" s="10" t="s">
        <v>108</v>
      </c>
      <c r="U55" s="88" t="s">
        <v>537</v>
      </c>
      <c r="W55" s="157">
        <v>42676</v>
      </c>
      <c r="X55" s="40">
        <v>91.42</v>
      </c>
      <c r="Y55" s="40">
        <v>92.53</v>
      </c>
      <c r="Z55" s="40">
        <v>91.32</v>
      </c>
      <c r="AA55" s="40">
        <v>91.99</v>
      </c>
      <c r="AB55" s="95">
        <v>1687900</v>
      </c>
      <c r="AC55" s="40">
        <v>91.99</v>
      </c>
      <c r="AD55" s="2">
        <f t="shared" si="0"/>
        <v>1.210000000000008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3"/>
        <v>110.1823</v>
      </c>
      <c r="T56" s="10" t="s">
        <v>111</v>
      </c>
      <c r="U56" s="88">
        <v>21.04</v>
      </c>
      <c r="W56" s="157">
        <v>42676</v>
      </c>
      <c r="X56" s="40" t="s">
        <v>384</v>
      </c>
      <c r="Y56" s="40"/>
      <c r="Z56" s="40"/>
      <c r="AA56" s="40"/>
      <c r="AB56" s="95"/>
      <c r="AC56" s="4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3"/>
        <v>109.04640000000001</v>
      </c>
      <c r="T57" s="10" t="s">
        <v>112</v>
      </c>
      <c r="U57" s="88">
        <v>5.4</v>
      </c>
      <c r="W57" s="157">
        <v>42675</v>
      </c>
      <c r="X57" s="40">
        <v>93.28</v>
      </c>
      <c r="Y57" s="40">
        <v>93.29</v>
      </c>
      <c r="Z57" s="40">
        <v>90.98</v>
      </c>
      <c r="AA57" s="40">
        <v>91.6</v>
      </c>
      <c r="AB57" s="95">
        <v>1552300</v>
      </c>
      <c r="AC57" s="40">
        <v>91.01</v>
      </c>
      <c r="AD57" s="2">
        <f t="shared" si="0"/>
        <v>2.3100000000000023</v>
      </c>
      <c r="AE57" s="138">
        <f t="shared" si="1"/>
        <v>-1.5043290043290081E-2</v>
      </c>
    </row>
    <row r="58" spans="1:31" x14ac:dyDescent="0.25">
      <c r="O58" s="83">
        <v>0.95</v>
      </c>
      <c r="P58" s="83">
        <f t="shared" si="3"/>
        <v>107.9105</v>
      </c>
      <c r="T58" s="10" t="s">
        <v>109</v>
      </c>
      <c r="U58" s="88" t="s">
        <v>640</v>
      </c>
      <c r="W58" s="157">
        <v>42674</v>
      </c>
      <c r="X58" s="40">
        <v>92.73</v>
      </c>
      <c r="Y58" s="40">
        <v>93.54</v>
      </c>
      <c r="Z58" s="40">
        <v>92.42</v>
      </c>
      <c r="AA58" s="40">
        <v>93</v>
      </c>
      <c r="AB58" s="95">
        <v>1833800</v>
      </c>
      <c r="AC58" s="40">
        <v>92.4</v>
      </c>
      <c r="AD58" s="2">
        <f t="shared" si="0"/>
        <v>1.1200000000000045</v>
      </c>
      <c r="AE58" s="138">
        <f t="shared" si="1"/>
        <v>7.8534031413612926E-3</v>
      </c>
    </row>
    <row r="59" spans="1:31" x14ac:dyDescent="0.25">
      <c r="O59" s="83">
        <v>0.94</v>
      </c>
      <c r="P59" s="83">
        <f t="shared" si="3"/>
        <v>106.77459999999999</v>
      </c>
      <c r="W59" s="157">
        <v>42671</v>
      </c>
      <c r="X59" s="40">
        <v>91.51</v>
      </c>
      <c r="Y59" s="40">
        <v>93.16</v>
      </c>
      <c r="Z59" s="40">
        <v>91.36</v>
      </c>
      <c r="AA59" s="40">
        <v>92.27</v>
      </c>
      <c r="AB59" s="95">
        <v>2454700</v>
      </c>
      <c r="AC59" s="40">
        <v>91.68</v>
      </c>
      <c r="AD59" s="2">
        <f t="shared" si="0"/>
        <v>1.7999999999999972</v>
      </c>
      <c r="AE59" s="138">
        <f t="shared" si="1"/>
        <v>1.0136624063464161E-2</v>
      </c>
    </row>
    <row r="60" spans="1:31" x14ac:dyDescent="0.25">
      <c r="O60" s="83">
        <v>0.93</v>
      </c>
      <c r="P60" s="83">
        <f t="shared" si="3"/>
        <v>105.63870000000001</v>
      </c>
      <c r="W60" s="157">
        <v>42670</v>
      </c>
      <c r="X60" s="40">
        <v>90.65</v>
      </c>
      <c r="Y60" s="40">
        <v>91.58</v>
      </c>
      <c r="Z60" s="40">
        <v>90.53</v>
      </c>
      <c r="AA60" s="40">
        <v>91.35</v>
      </c>
      <c r="AB60" s="95">
        <v>2478600</v>
      </c>
      <c r="AC60" s="40">
        <v>90.76</v>
      </c>
      <c r="AD60" s="2">
        <f t="shared" si="0"/>
        <v>1.0499999999999972</v>
      </c>
      <c r="AE60" s="138">
        <f t="shared" si="1"/>
        <v>1.4645053102291916E-2</v>
      </c>
    </row>
    <row r="61" spans="1:31" x14ac:dyDescent="0.25">
      <c r="O61" s="83">
        <v>0.92</v>
      </c>
      <c r="P61" s="83">
        <f t="shared" si="3"/>
        <v>104.50280000000001</v>
      </c>
      <c r="W61" s="157">
        <v>42669</v>
      </c>
      <c r="X61" s="40">
        <v>91.9</v>
      </c>
      <c r="Y61" s="40">
        <v>92.37</v>
      </c>
      <c r="Z61" s="40">
        <v>89.95</v>
      </c>
      <c r="AA61" s="40">
        <v>90.03</v>
      </c>
      <c r="AB61" s="95">
        <v>2340800</v>
      </c>
      <c r="AC61" s="40">
        <v>89.45</v>
      </c>
      <c r="AD61" s="2">
        <f t="shared" si="0"/>
        <v>2.4200000000000017</v>
      </c>
      <c r="AE61" s="138">
        <f t="shared" si="1"/>
        <v>-3.4746951548505489E-2</v>
      </c>
    </row>
    <row r="62" spans="1:31" x14ac:dyDescent="0.25">
      <c r="O62" s="83">
        <v>0.91</v>
      </c>
      <c r="P62" s="83">
        <f t="shared" si="3"/>
        <v>103.3669</v>
      </c>
      <c r="W62" s="157">
        <v>42668</v>
      </c>
      <c r="X62" s="40">
        <v>92.79</v>
      </c>
      <c r="Y62" s="40">
        <v>93.56</v>
      </c>
      <c r="Z62" s="40">
        <v>92.56</v>
      </c>
      <c r="AA62" s="40">
        <v>93.27</v>
      </c>
      <c r="AB62" s="95">
        <v>2111300</v>
      </c>
      <c r="AC62" s="40">
        <v>92.67</v>
      </c>
      <c r="AD62" s="2">
        <f t="shared" si="0"/>
        <v>1</v>
      </c>
      <c r="AE62" s="138">
        <f t="shared" si="1"/>
        <v>3.4650785056848932E-3</v>
      </c>
    </row>
    <row r="63" spans="1:31" x14ac:dyDescent="0.25">
      <c r="O63" s="83">
        <v>0.9</v>
      </c>
      <c r="P63" s="83">
        <f t="shared" si="3"/>
        <v>102.23100000000001</v>
      </c>
      <c r="W63" s="157">
        <v>42667</v>
      </c>
      <c r="X63" s="40">
        <v>93.84</v>
      </c>
      <c r="Y63" s="40">
        <v>94.27</v>
      </c>
      <c r="Z63" s="40">
        <v>92.85</v>
      </c>
      <c r="AA63" s="40">
        <v>92.95</v>
      </c>
      <c r="AB63" s="95">
        <v>1350500</v>
      </c>
      <c r="AC63" s="40">
        <v>92.35</v>
      </c>
      <c r="AD63" s="2">
        <f t="shared" si="0"/>
        <v>1.4200000000000017</v>
      </c>
      <c r="AE63" s="138">
        <f t="shared" si="1"/>
        <v>3.2495667244369919E-4</v>
      </c>
    </row>
    <row r="64" spans="1:31" x14ac:dyDescent="0.25">
      <c r="W64" s="157">
        <v>42664</v>
      </c>
      <c r="X64" s="40">
        <v>92.35</v>
      </c>
      <c r="Y64" s="40">
        <v>93.01</v>
      </c>
      <c r="Z64" s="40">
        <v>92.07</v>
      </c>
      <c r="AA64" s="40">
        <v>92.92</v>
      </c>
      <c r="AB64" s="95">
        <v>1884700</v>
      </c>
      <c r="AC64" s="40">
        <v>92.32</v>
      </c>
      <c r="AD64" s="2">
        <f t="shared" si="0"/>
        <v>0.94000000000001194</v>
      </c>
      <c r="AE64" s="138">
        <f t="shared" si="1"/>
        <v>-2.2695342051227696E-3</v>
      </c>
    </row>
    <row r="65" spans="23:31" x14ac:dyDescent="0.25">
      <c r="W65" s="157">
        <v>42663</v>
      </c>
      <c r="X65" s="40">
        <v>95.01</v>
      </c>
      <c r="Y65" s="40">
        <v>95.15</v>
      </c>
      <c r="Z65" s="40">
        <v>92.94</v>
      </c>
      <c r="AA65" s="40">
        <v>93.13</v>
      </c>
      <c r="AB65" s="95">
        <v>1569400</v>
      </c>
      <c r="AC65" s="40">
        <v>92.53</v>
      </c>
      <c r="AD65" s="2">
        <f t="shared" si="0"/>
        <v>2.210000000000008</v>
      </c>
      <c r="AE65" s="138">
        <f t="shared" si="1"/>
        <v>-2.6205009471690133E-2</v>
      </c>
    </row>
    <row r="66" spans="23:31" x14ac:dyDescent="0.25">
      <c r="W66" s="157">
        <v>42662</v>
      </c>
      <c r="X66" s="40">
        <v>95.25</v>
      </c>
      <c r="Y66" s="40">
        <v>96.38</v>
      </c>
      <c r="Z66" s="40">
        <v>94.9</v>
      </c>
      <c r="AA66" s="40">
        <v>95.64</v>
      </c>
      <c r="AB66" s="95">
        <v>1009200</v>
      </c>
      <c r="AC66" s="40">
        <v>95.02</v>
      </c>
      <c r="AD66" s="2">
        <f t="shared" si="0"/>
        <v>1.4799999999999898</v>
      </c>
      <c r="AE66" s="138">
        <f t="shared" si="1"/>
        <v>6.8877821341526424E-3</v>
      </c>
    </row>
    <row r="67" spans="23:31" x14ac:dyDescent="0.25">
      <c r="W67" s="157">
        <v>42661</v>
      </c>
      <c r="X67" s="40">
        <v>95.25</v>
      </c>
      <c r="Y67" s="40">
        <v>95.69</v>
      </c>
      <c r="Z67" s="40">
        <v>94.48</v>
      </c>
      <c r="AA67" s="40">
        <v>94.98</v>
      </c>
      <c r="AB67" s="95">
        <v>999300</v>
      </c>
      <c r="AC67" s="40">
        <v>94.37</v>
      </c>
      <c r="AD67" s="2">
        <f>Y67-Z67</f>
        <v>1.2099999999999937</v>
      </c>
      <c r="AE67" s="138" t="e">
        <f>AC67/#REF!-1</f>
        <v>#REF!</v>
      </c>
    </row>
    <row r="68" spans="23:31" x14ac:dyDescent="0.25">
      <c r="W68" s="157">
        <v>42660</v>
      </c>
      <c r="X68" s="40">
        <v>94.82</v>
      </c>
      <c r="Y68" s="40">
        <v>95.53</v>
      </c>
      <c r="Z68" s="40">
        <v>94.57</v>
      </c>
      <c r="AA68" s="40">
        <v>94.84</v>
      </c>
      <c r="AB68" s="95">
        <v>1021400</v>
      </c>
      <c r="AC68" s="40">
        <v>94.23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42755</v>
      </c>
      <c r="X2" s="10">
        <v>188.6</v>
      </c>
      <c r="Y2" s="10">
        <v>191.54</v>
      </c>
      <c r="Z2" s="10">
        <v>188.1</v>
      </c>
      <c r="AA2" s="10">
        <v>191.08</v>
      </c>
      <c r="AB2" s="95">
        <v>5734300</v>
      </c>
      <c r="AC2" s="10">
        <v>191.08</v>
      </c>
      <c r="AD2" s="2">
        <f>Y2-Z2</f>
        <v>3.4399999999999977</v>
      </c>
      <c r="AE2" s="138">
        <f>AC2/AC3-1</f>
        <v>2.9747790472084645E-2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191.08</v>
      </c>
      <c r="T3" s="63"/>
      <c r="W3" s="133">
        <v>42754</v>
      </c>
      <c r="X3" s="10">
        <v>185.1</v>
      </c>
      <c r="Y3" s="10">
        <v>186.88</v>
      </c>
      <c r="Z3" s="10">
        <v>184.68</v>
      </c>
      <c r="AA3" s="10">
        <v>185.56</v>
      </c>
      <c r="AB3" s="95">
        <v>4560000</v>
      </c>
      <c r="AC3" s="10">
        <v>185.56</v>
      </c>
      <c r="AD3" s="2">
        <f t="shared" ref="AD3:AD66" si="0">Y3-Z3</f>
        <v>2.1999999999999886</v>
      </c>
      <c r="AE3" s="138">
        <f t="shared" ref="AE3:AE66" si="1">AC3/AC4-1</f>
        <v>2.9186033942276701E-3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191.08</v>
      </c>
      <c r="R4" s="505">
        <v>2.9700000000000001E-2</v>
      </c>
      <c r="T4" s="63"/>
      <c r="W4" s="133">
        <v>42753</v>
      </c>
      <c r="X4" s="10">
        <v>180.36</v>
      </c>
      <c r="Y4" s="10">
        <v>185.07</v>
      </c>
      <c r="Z4" s="10">
        <v>180</v>
      </c>
      <c r="AA4" s="10">
        <v>185.02</v>
      </c>
      <c r="AB4" s="95">
        <v>3562000</v>
      </c>
      <c r="AC4" s="10">
        <v>185.02</v>
      </c>
      <c r="AD4" s="2">
        <f t="shared" si="0"/>
        <v>5.0699999999999932</v>
      </c>
      <c r="AE4" s="138">
        <f t="shared" si="1"/>
        <v>3.2996482608452782E-2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42752</v>
      </c>
      <c r="X5" s="10">
        <v>179.48</v>
      </c>
      <c r="Y5" s="10">
        <v>179.63</v>
      </c>
      <c r="Z5" s="10">
        <v>177.56</v>
      </c>
      <c r="AA5" s="10">
        <v>179.11</v>
      </c>
      <c r="AB5" s="95">
        <v>2628500</v>
      </c>
      <c r="AC5" s="10">
        <v>179.11</v>
      </c>
      <c r="AD5" s="2">
        <f t="shared" si="0"/>
        <v>2.0699999999999932</v>
      </c>
      <c r="AE5" s="138">
        <f t="shared" si="1"/>
        <v>-7.4258797450815761E-3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42748</v>
      </c>
      <c r="X6" s="10">
        <v>178.9</v>
      </c>
      <c r="Y6" s="10">
        <v>180.78</v>
      </c>
      <c r="Z6" s="10">
        <v>178.39</v>
      </c>
      <c r="AA6" s="10">
        <v>180.45</v>
      </c>
      <c r="AB6" s="95">
        <v>2090200</v>
      </c>
      <c r="AC6" s="10">
        <v>180.45</v>
      </c>
      <c r="AD6" s="2">
        <f t="shared" si="0"/>
        <v>2.3900000000000148</v>
      </c>
      <c r="AE6" s="138">
        <f t="shared" si="1"/>
        <v>8.8896343508888531E-3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42747</v>
      </c>
      <c r="X7" s="10">
        <v>178.09</v>
      </c>
      <c r="Y7" s="10">
        <v>179.1</v>
      </c>
      <c r="Z7" s="10">
        <v>175.4</v>
      </c>
      <c r="AA7" s="10">
        <v>178.86</v>
      </c>
      <c r="AB7" s="95">
        <v>2311000</v>
      </c>
      <c r="AC7" s="10">
        <v>178.86</v>
      </c>
      <c r="AD7" s="2">
        <f t="shared" si="0"/>
        <v>3.6999999999999886</v>
      </c>
      <c r="AE7" s="138">
        <f t="shared" si="1"/>
        <v>-3.1211682086722536E-3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42746</v>
      </c>
      <c r="X8" s="10">
        <v>180.05</v>
      </c>
      <c r="Y8" s="10">
        <v>180.47</v>
      </c>
      <c r="Z8" s="10">
        <v>177.76</v>
      </c>
      <c r="AA8" s="10">
        <v>179.42</v>
      </c>
      <c r="AB8" s="95">
        <v>1873800</v>
      </c>
      <c r="AC8" s="10">
        <v>179.42</v>
      </c>
      <c r="AD8" s="2">
        <f t="shared" si="0"/>
        <v>2.710000000000008</v>
      </c>
      <c r="AE8" s="138">
        <f t="shared" si="1"/>
        <v>-6.3687212715290986E-3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67"/>
      <c r="W9" s="133">
        <v>42745</v>
      </c>
      <c r="X9" s="10">
        <v>177.49</v>
      </c>
      <c r="Y9" s="10">
        <v>180.74</v>
      </c>
      <c r="Z9" s="10">
        <v>176.9</v>
      </c>
      <c r="AA9" s="10">
        <v>180.57</v>
      </c>
      <c r="AB9" s="95">
        <v>3018100</v>
      </c>
      <c r="AC9" s="10">
        <v>180.57</v>
      </c>
      <c r="AD9" s="2">
        <f t="shared" si="0"/>
        <v>3.8400000000000034</v>
      </c>
      <c r="AE9" s="138">
        <f t="shared" si="1"/>
        <v>2.0342430920494925E-2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M32</f>
        <v>780.73999999999796</v>
      </c>
      <c r="W10" s="133">
        <v>42744</v>
      </c>
      <c r="X10" s="10">
        <v>176.65</v>
      </c>
      <c r="Y10" s="10">
        <v>178.3</v>
      </c>
      <c r="Z10" s="10">
        <v>176.64</v>
      </c>
      <c r="AA10" s="10">
        <v>176.97</v>
      </c>
      <c r="AB10" s="95">
        <v>2026500</v>
      </c>
      <c r="AC10" s="10">
        <v>176.97</v>
      </c>
      <c r="AD10" s="2">
        <f t="shared" si="0"/>
        <v>1.660000000000025</v>
      </c>
      <c r="AE10" s="138">
        <f t="shared" si="1"/>
        <v>2.1518772297410838E-3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2.1399999999999999E-2</v>
      </c>
      <c r="W11" s="133">
        <v>42741</v>
      </c>
      <c r="X11" s="10">
        <v>174.21</v>
      </c>
      <c r="Y11" s="10">
        <v>176.9</v>
      </c>
      <c r="Z11" s="10">
        <v>173.31</v>
      </c>
      <c r="AA11" s="10">
        <v>176.59</v>
      </c>
      <c r="AB11" s="95">
        <v>2314200</v>
      </c>
      <c r="AC11" s="10">
        <v>176.59</v>
      </c>
      <c r="AD11" s="2">
        <f t="shared" si="0"/>
        <v>3.5900000000000034</v>
      </c>
      <c r="AE11" s="138">
        <f t="shared" si="1"/>
        <v>1.3254532935506047E-2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42740</v>
      </c>
      <c r="X12" s="10">
        <v>176.33</v>
      </c>
      <c r="Y12" s="10">
        <v>177</v>
      </c>
      <c r="Z12" s="10">
        <v>173.88</v>
      </c>
      <c r="AA12" s="10">
        <v>174.28</v>
      </c>
      <c r="AB12" s="95">
        <v>2480300</v>
      </c>
      <c r="AC12" s="10">
        <v>174.28</v>
      </c>
      <c r="AD12" s="2">
        <f t="shared" si="0"/>
        <v>3.1200000000000045</v>
      </c>
      <c r="AE12" s="138">
        <f t="shared" si="1"/>
        <v>-1.5756480487942537E-2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178.26</v>
      </c>
      <c r="Y13" s="10">
        <v>179</v>
      </c>
      <c r="Z13" s="10">
        <v>176.68</v>
      </c>
      <c r="AA13" s="10">
        <v>177.07</v>
      </c>
      <c r="AB13" s="95">
        <v>2389100</v>
      </c>
      <c r="AC13" s="10">
        <v>177.07</v>
      </c>
      <c r="AD13" s="2">
        <f t="shared" si="0"/>
        <v>2.3199999999999932</v>
      </c>
      <c r="AE13" s="138">
        <f t="shared" si="1"/>
        <v>-7.1212291129304495E-3</v>
      </c>
    </row>
    <row r="14" spans="1:31" x14ac:dyDescent="0.25">
      <c r="W14" s="133">
        <v>42738</v>
      </c>
      <c r="X14" s="10">
        <v>178.29</v>
      </c>
      <c r="Y14" s="10">
        <v>180.9</v>
      </c>
      <c r="Z14" s="10">
        <v>176.54</v>
      </c>
      <c r="AA14" s="10">
        <v>178.34</v>
      </c>
      <c r="AB14" s="95">
        <v>3208700</v>
      </c>
      <c r="AC14" s="10">
        <v>178.34</v>
      </c>
      <c r="AD14" s="2">
        <f t="shared" si="0"/>
        <v>4.3600000000000136</v>
      </c>
      <c r="AE14" s="138">
        <f t="shared" si="1"/>
        <v>8.881597556146259E-3</v>
      </c>
    </row>
    <row r="15" spans="1:31" x14ac:dyDescent="0.25">
      <c r="W15" s="133">
        <v>42734</v>
      </c>
      <c r="X15" s="10">
        <v>180.37</v>
      </c>
      <c r="Y15" s="10">
        <v>180.9</v>
      </c>
      <c r="Z15" s="10">
        <v>176.02</v>
      </c>
      <c r="AA15" s="10">
        <v>176.77</v>
      </c>
      <c r="AB15" s="95">
        <v>2542100</v>
      </c>
      <c r="AC15" s="10">
        <v>176.77</v>
      </c>
      <c r="AD15" s="2">
        <f t="shared" si="0"/>
        <v>4.8799999999999955</v>
      </c>
      <c r="AE15" s="138">
        <f t="shared" si="1"/>
        <v>-1.7234669483515819E-2</v>
      </c>
    </row>
    <row r="16" spans="1:31" x14ac:dyDescent="0.25">
      <c r="W16" s="133">
        <v>42733</v>
      </c>
      <c r="X16" s="10">
        <v>179.7</v>
      </c>
      <c r="Y16" s="10">
        <v>180.67</v>
      </c>
      <c r="Z16" s="10">
        <v>178.63</v>
      </c>
      <c r="AA16" s="10">
        <v>179.87</v>
      </c>
      <c r="AB16" s="95">
        <v>1367100</v>
      </c>
      <c r="AC16" s="10">
        <v>179.87</v>
      </c>
      <c r="AD16" s="2">
        <f t="shared" si="0"/>
        <v>2.039999999999992</v>
      </c>
      <c r="AE16" s="138">
        <f t="shared" si="1"/>
        <v>-1.7759032132748098E-3</v>
      </c>
    </row>
    <row r="17" spans="1:31" x14ac:dyDescent="0.25">
      <c r="W17" s="133">
        <v>42732</v>
      </c>
      <c r="X17" s="10">
        <v>182.64</v>
      </c>
      <c r="Y17" s="10">
        <v>183</v>
      </c>
      <c r="Z17" s="10">
        <v>179.84</v>
      </c>
      <c r="AA17" s="10">
        <v>180.19</v>
      </c>
      <c r="AB17" s="95">
        <v>1387500</v>
      </c>
      <c r="AC17" s="10">
        <v>180.19</v>
      </c>
      <c r="AD17" s="2">
        <f t="shared" si="0"/>
        <v>3.1599999999999966</v>
      </c>
      <c r="AE17" s="138">
        <f t="shared" si="1"/>
        <v>-1.162854478635289E-2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42731</v>
      </c>
      <c r="X18" s="10">
        <v>182.11</v>
      </c>
      <c r="Y18" s="10">
        <v>183.7</v>
      </c>
      <c r="Z18" s="10">
        <v>182.05</v>
      </c>
      <c r="AA18" s="10">
        <v>182.31</v>
      </c>
      <c r="AB18" s="95">
        <v>828300</v>
      </c>
      <c r="AC18" s="10">
        <v>182.31</v>
      </c>
      <c r="AD18" s="2">
        <f t="shared" si="0"/>
        <v>1.6499999999999773</v>
      </c>
      <c r="AE18" s="138">
        <f t="shared" si="1"/>
        <v>2.0336374628999732E-3</v>
      </c>
    </row>
    <row r="19" spans="1:31" x14ac:dyDescent="0.25">
      <c r="W19" s="133">
        <v>42727</v>
      </c>
      <c r="X19" s="10">
        <v>180.05</v>
      </c>
      <c r="Y19" s="10">
        <v>181.98</v>
      </c>
      <c r="Z19" s="10">
        <v>179.66</v>
      </c>
      <c r="AA19" s="10">
        <v>181.94</v>
      </c>
      <c r="AB19" s="95">
        <v>897700</v>
      </c>
      <c r="AC19" s="10">
        <v>181.94</v>
      </c>
      <c r="AD19" s="2">
        <f t="shared" si="0"/>
        <v>2.3199999999999932</v>
      </c>
      <c r="AE19" s="138">
        <f t="shared" si="1"/>
        <v>7.4197120708747732E-3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182.85</v>
      </c>
      <c r="Y20" s="10">
        <v>183</v>
      </c>
      <c r="Z20" s="10">
        <v>179.38</v>
      </c>
      <c r="AA20" s="10">
        <v>180.6</v>
      </c>
      <c r="AB20" s="95">
        <v>1755700</v>
      </c>
      <c r="AC20" s="10">
        <v>180.6</v>
      </c>
      <c r="AD20" s="2">
        <f t="shared" si="0"/>
        <v>3.6200000000000045</v>
      </c>
      <c r="AE20" s="138">
        <f t="shared" si="1"/>
        <v>-9.2709419057545039E-3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42725</v>
      </c>
      <c r="X21" s="10">
        <v>183.73</v>
      </c>
      <c r="Y21" s="10">
        <v>183.99</v>
      </c>
      <c r="Z21" s="10">
        <v>181.78</v>
      </c>
      <c r="AA21" s="10">
        <v>182.29</v>
      </c>
      <c r="AB21" s="95">
        <v>2101300</v>
      </c>
      <c r="AC21" s="10">
        <v>182.29</v>
      </c>
      <c r="AD21" s="2">
        <f t="shared" si="0"/>
        <v>2.210000000000008</v>
      </c>
      <c r="AE21" s="138">
        <f t="shared" si="1"/>
        <v>1.2083264678419692E-3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42724</v>
      </c>
      <c r="X22" s="10">
        <v>181</v>
      </c>
      <c r="Y22" s="10">
        <v>183.28</v>
      </c>
      <c r="Z22" s="10">
        <v>180.14</v>
      </c>
      <c r="AA22" s="10">
        <v>182.07</v>
      </c>
      <c r="AB22" s="95">
        <v>2735200</v>
      </c>
      <c r="AC22" s="10">
        <v>182.07</v>
      </c>
      <c r="AD22" s="2">
        <f t="shared" si="0"/>
        <v>3.1400000000000148</v>
      </c>
      <c r="AE22" s="138">
        <f t="shared" si="1"/>
        <v>8.9216446858029208E-3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42723</v>
      </c>
      <c r="X23" s="10">
        <v>179.07</v>
      </c>
      <c r="Y23" s="10">
        <v>181.41</v>
      </c>
      <c r="Z23" s="10">
        <v>178.12</v>
      </c>
      <c r="AA23" s="10">
        <v>180.46</v>
      </c>
      <c r="AB23" s="95">
        <v>2221900</v>
      </c>
      <c r="AC23" s="10">
        <v>180.46</v>
      </c>
      <c r="AD23" s="2">
        <f t="shared" si="0"/>
        <v>3.289999999999992</v>
      </c>
      <c r="AE23" s="138">
        <f t="shared" si="1"/>
        <v>1.1433695774016428E-2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42720</v>
      </c>
      <c r="X24" s="10">
        <v>180.75</v>
      </c>
      <c r="Y24" s="10">
        <v>181.09</v>
      </c>
      <c r="Z24" s="10">
        <v>177.48</v>
      </c>
      <c r="AA24" s="10">
        <v>178.42</v>
      </c>
      <c r="AB24" s="95">
        <v>4154100</v>
      </c>
      <c r="AC24" s="10">
        <v>178.42</v>
      </c>
      <c r="AD24" s="2">
        <f t="shared" si="0"/>
        <v>3.6100000000000136</v>
      </c>
      <c r="AE24" s="138">
        <f t="shared" si="1"/>
        <v>-8.8328426198545085E-3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42719</v>
      </c>
      <c r="X25" s="10">
        <v>178.31</v>
      </c>
      <c r="Y25" s="10">
        <v>181.2</v>
      </c>
      <c r="Z25" s="10">
        <v>176.57</v>
      </c>
      <c r="AA25" s="10">
        <v>180.01</v>
      </c>
      <c r="AB25" s="95">
        <v>3810300</v>
      </c>
      <c r="AC25" s="10">
        <v>180.01</v>
      </c>
      <c r="AD25" s="2">
        <f t="shared" si="0"/>
        <v>4.6299999999999955</v>
      </c>
      <c r="AE25" s="138">
        <f t="shared" si="1"/>
        <v>1.345569192658469E-2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42718</v>
      </c>
      <c r="X26" s="10">
        <v>178.75</v>
      </c>
      <c r="Y26" s="10">
        <v>179.22</v>
      </c>
      <c r="Z26" s="10">
        <v>176.23</v>
      </c>
      <c r="AA26" s="10">
        <v>177.62</v>
      </c>
      <c r="AB26" s="95">
        <v>4679500</v>
      </c>
      <c r="AC26" s="10">
        <v>177.62</v>
      </c>
      <c r="AD26" s="2">
        <f t="shared" si="0"/>
        <v>2.9900000000000091</v>
      </c>
      <c r="AE26" s="138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42718</v>
      </c>
      <c r="X27" s="10" t="s">
        <v>378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42717</v>
      </c>
      <c r="X28" s="10">
        <v>178.74</v>
      </c>
      <c r="Y28" s="10">
        <v>181.94</v>
      </c>
      <c r="Z28" s="10">
        <v>178</v>
      </c>
      <c r="AA28" s="10">
        <v>179.44</v>
      </c>
      <c r="AB28" s="95">
        <v>6907600</v>
      </c>
      <c r="AC28" s="10">
        <v>178.42</v>
      </c>
      <c r="AD28" s="2">
        <f t="shared" si="0"/>
        <v>3.9399999999999977</v>
      </c>
      <c r="AE28" s="138">
        <f t="shared" si="1"/>
        <v>7.1690657634770893E-3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42716</v>
      </c>
      <c r="X29" s="10">
        <v>178.05</v>
      </c>
      <c r="Y29" s="10">
        <v>180.77</v>
      </c>
      <c r="Z29" s="10">
        <v>176.56</v>
      </c>
      <c r="AA29" s="10">
        <v>178.16</v>
      </c>
      <c r="AB29" s="95">
        <v>3719400</v>
      </c>
      <c r="AC29" s="10">
        <v>177.15</v>
      </c>
      <c r="AD29" s="2">
        <f t="shared" si="0"/>
        <v>4.210000000000008</v>
      </c>
      <c r="AE29" s="138">
        <f t="shared" si="1"/>
        <v>-5.1665075532093541E-3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42713</v>
      </c>
      <c r="X30" s="10">
        <v>180.95</v>
      </c>
      <c r="Y30" s="10">
        <v>181.9</v>
      </c>
      <c r="Z30" s="10">
        <v>176.9</v>
      </c>
      <c r="AA30" s="10">
        <v>179.09</v>
      </c>
      <c r="AB30" s="95">
        <v>7574400</v>
      </c>
      <c r="AC30" s="10">
        <v>178.07</v>
      </c>
      <c r="AD30" s="2">
        <f t="shared" si="0"/>
        <v>5</v>
      </c>
      <c r="AE30" s="138">
        <f t="shared" si="1"/>
        <v>4.907505596795092E-2</v>
      </c>
    </row>
    <row r="31" spans="1:31" x14ac:dyDescent="0.25">
      <c r="W31" s="133">
        <v>42712</v>
      </c>
      <c r="X31" s="10">
        <v>169.55</v>
      </c>
      <c r="Y31" s="10">
        <v>171.38</v>
      </c>
      <c r="Z31" s="10">
        <v>167.51</v>
      </c>
      <c r="AA31" s="10">
        <v>170.71</v>
      </c>
      <c r="AB31" s="95">
        <v>3836100</v>
      </c>
      <c r="AC31" s="10">
        <v>169.74</v>
      </c>
      <c r="AD31" s="2">
        <f t="shared" si="0"/>
        <v>3.8700000000000045</v>
      </c>
      <c r="AE31" s="138">
        <f t="shared" si="1"/>
        <v>1.282892774031863E-2</v>
      </c>
    </row>
    <row r="32" spans="1:31" x14ac:dyDescent="0.25">
      <c r="L32" t="s">
        <v>214</v>
      </c>
      <c r="M32" s="2">
        <f>M50+K50-F50</f>
        <v>780.73999999999796</v>
      </c>
      <c r="W32" s="133">
        <v>42711</v>
      </c>
      <c r="X32" s="10">
        <v>164.76</v>
      </c>
      <c r="Y32" s="10">
        <v>168.55</v>
      </c>
      <c r="Z32" s="10">
        <v>163.66999999999999</v>
      </c>
      <c r="AA32" s="10">
        <v>168.55</v>
      </c>
      <c r="AB32" s="95">
        <v>3265900</v>
      </c>
      <c r="AC32" s="10">
        <v>167.59</v>
      </c>
      <c r="AD32" s="2">
        <f t="shared" si="0"/>
        <v>4.8800000000000239</v>
      </c>
      <c r="AE32" s="138">
        <f t="shared" si="1"/>
        <v>2.3013063118056509E-2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42710</v>
      </c>
      <c r="X33" s="10">
        <v>166.81</v>
      </c>
      <c r="Y33" s="10">
        <v>167.97</v>
      </c>
      <c r="Z33" s="10">
        <v>163.44999999999999</v>
      </c>
      <c r="AA33" s="10">
        <v>164.76</v>
      </c>
      <c r="AB33" s="95">
        <v>3918400</v>
      </c>
      <c r="AC33" s="10">
        <v>163.82</v>
      </c>
      <c r="AD33" s="2">
        <f t="shared" si="0"/>
        <v>4.5200000000000102</v>
      </c>
      <c r="AE33" s="138">
        <f t="shared" si="1"/>
        <v>-8.2934802348810788E-3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42709</v>
      </c>
      <c r="X34" s="10">
        <v>166.01</v>
      </c>
      <c r="Y34" s="10">
        <v>166.61</v>
      </c>
      <c r="Z34" s="10">
        <v>162.4</v>
      </c>
      <c r="AA34" s="10">
        <v>166.13</v>
      </c>
      <c r="AB34" s="95">
        <v>2137200</v>
      </c>
      <c r="AC34" s="10">
        <v>165.19</v>
      </c>
      <c r="AD34" s="2">
        <f t="shared" si="0"/>
        <v>4.210000000000008</v>
      </c>
      <c r="AE34" s="138">
        <f t="shared" si="1"/>
        <v>1.1635740094310787E-2</v>
      </c>
    </row>
    <row r="35" spans="1:31" x14ac:dyDescent="0.25">
      <c r="A35" s="23" t="s">
        <v>71</v>
      </c>
      <c r="B35" s="65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42706</v>
      </c>
      <c r="X35" s="10">
        <v>163.57</v>
      </c>
      <c r="Y35" s="10">
        <v>164.92</v>
      </c>
      <c r="Z35" s="10">
        <v>160.62</v>
      </c>
      <c r="AA35" s="10">
        <v>164.22</v>
      </c>
      <c r="AB35" s="95">
        <v>2694500</v>
      </c>
      <c r="AC35" s="10">
        <v>163.29</v>
      </c>
      <c r="AD35" s="2">
        <f t="shared" si="0"/>
        <v>4.2999999999999829</v>
      </c>
      <c r="AE35" s="138">
        <f t="shared" si="1"/>
        <v>8.8347955022858304E-3</v>
      </c>
    </row>
    <row r="36" spans="1:31" x14ac:dyDescent="0.25">
      <c r="B36" s="65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42705</v>
      </c>
      <c r="X36" s="10">
        <v>170.01</v>
      </c>
      <c r="Y36" s="10">
        <v>170.49</v>
      </c>
      <c r="Z36" s="10">
        <v>161.21</v>
      </c>
      <c r="AA36" s="10">
        <v>162.79</v>
      </c>
      <c r="AB36" s="95">
        <v>4638900</v>
      </c>
      <c r="AC36" s="10">
        <v>161.86000000000001</v>
      </c>
      <c r="AD36" s="2">
        <f t="shared" si="0"/>
        <v>9.2800000000000011</v>
      </c>
      <c r="AE36" s="138">
        <f t="shared" si="1"/>
        <v>-4.5186408683341228E-2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42704</v>
      </c>
      <c r="X37" s="10">
        <v>175.12</v>
      </c>
      <c r="Y37" s="10">
        <v>175.9</v>
      </c>
      <c r="Z37" s="10">
        <v>170.44</v>
      </c>
      <c r="AA37" s="10">
        <v>170.49</v>
      </c>
      <c r="AB37" s="95">
        <v>3124900</v>
      </c>
      <c r="AC37" s="10">
        <v>169.52</v>
      </c>
      <c r="AD37" s="2">
        <f t="shared" si="0"/>
        <v>5.460000000000008</v>
      </c>
      <c r="AE37" s="138">
        <f t="shared" si="1"/>
        <v>-2.8260246488965191E-2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42703</v>
      </c>
      <c r="X38" s="10">
        <v>173.86</v>
      </c>
      <c r="Y38" s="10">
        <v>176.98</v>
      </c>
      <c r="Z38" s="10">
        <v>173.43</v>
      </c>
      <c r="AA38" s="10">
        <v>175.45</v>
      </c>
      <c r="AB38" s="95">
        <v>1851400</v>
      </c>
      <c r="AC38" s="10">
        <v>174.45</v>
      </c>
      <c r="AD38" s="2">
        <f t="shared" si="0"/>
        <v>3.5499999999999829</v>
      </c>
      <c r="AE38" s="138">
        <f t="shared" si="1"/>
        <v>4.5491189680986199E-3</v>
      </c>
    </row>
    <row r="39" spans="1:31" x14ac:dyDescent="0.25">
      <c r="B39" s="65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42702</v>
      </c>
      <c r="X39" s="10">
        <v>176.06</v>
      </c>
      <c r="Y39" s="10">
        <v>177.07</v>
      </c>
      <c r="Z39" s="10">
        <v>174.54</v>
      </c>
      <c r="AA39" s="10">
        <v>174.65</v>
      </c>
      <c r="AB39" s="95">
        <v>2657000</v>
      </c>
      <c r="AC39" s="10">
        <v>173.66</v>
      </c>
      <c r="AD39" s="2">
        <f t="shared" si="0"/>
        <v>2.5300000000000011</v>
      </c>
      <c r="AE39" s="138">
        <f t="shared" si="1"/>
        <v>-1.1891891891891881E-2</v>
      </c>
    </row>
    <row r="40" spans="1:31" x14ac:dyDescent="0.25">
      <c r="B40" s="65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42699</v>
      </c>
      <c r="X40" s="10">
        <v>176.78</v>
      </c>
      <c r="Y40" s="10">
        <v>177.02</v>
      </c>
      <c r="Z40" s="10">
        <v>175.57</v>
      </c>
      <c r="AA40" s="10">
        <v>176.75</v>
      </c>
      <c r="AB40" s="95">
        <v>819800</v>
      </c>
      <c r="AC40" s="10">
        <v>175.75</v>
      </c>
      <c r="AD40" s="2">
        <f t="shared" si="0"/>
        <v>1.4500000000000171</v>
      </c>
      <c r="AE40" s="138">
        <f t="shared" si="1"/>
        <v>-1.8174589651842599E-3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2" t="s">
        <v>78</v>
      </c>
      <c r="P41" s="632"/>
      <c r="T41" s="91" t="s">
        <v>113</v>
      </c>
      <c r="W41" s="133">
        <v>42697</v>
      </c>
      <c r="X41" s="10">
        <v>176.36</v>
      </c>
      <c r="Y41" s="10">
        <v>177.76</v>
      </c>
      <c r="Z41" s="10">
        <v>175.24</v>
      </c>
      <c r="AA41" s="10">
        <v>177.08</v>
      </c>
      <c r="AB41" s="95">
        <v>2212300</v>
      </c>
      <c r="AC41" s="10">
        <v>176.07</v>
      </c>
      <c r="AD41" s="2">
        <f t="shared" si="0"/>
        <v>2.5199999999999818</v>
      </c>
      <c r="AE41" s="138">
        <f t="shared" si="1"/>
        <v>3.4088972217483082E-4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210.18800000000002</v>
      </c>
      <c r="Q42" s="2"/>
      <c r="T42" s="135" t="s">
        <v>98</v>
      </c>
      <c r="U42" s="98">
        <v>185.56</v>
      </c>
      <c r="W42" s="133">
        <v>42696</v>
      </c>
      <c r="X42" s="10">
        <v>173.72</v>
      </c>
      <c r="Y42" s="10">
        <v>177.42</v>
      </c>
      <c r="Z42" s="10">
        <v>173.31</v>
      </c>
      <c r="AA42" s="10">
        <v>177.02</v>
      </c>
      <c r="AB42" s="95">
        <v>3102400</v>
      </c>
      <c r="AC42" s="10">
        <v>176.01</v>
      </c>
      <c r="AD42" s="2">
        <f t="shared" si="0"/>
        <v>4.1099999999999852</v>
      </c>
      <c r="AE42" s="138">
        <f t="shared" si="1"/>
        <v>2.5699300699300709E-2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208.27720000000002</v>
      </c>
      <c r="Q43" s="2"/>
      <c r="T43" s="136" t="s">
        <v>99</v>
      </c>
      <c r="U43" s="88">
        <v>188.6</v>
      </c>
      <c r="W43" s="133">
        <v>42695</v>
      </c>
      <c r="X43" s="10">
        <v>169.13</v>
      </c>
      <c r="Y43" s="10">
        <v>172.76</v>
      </c>
      <c r="Z43" s="10">
        <v>169.13</v>
      </c>
      <c r="AA43" s="10">
        <v>172.58</v>
      </c>
      <c r="AB43" s="95">
        <v>2138400</v>
      </c>
      <c r="AC43" s="10">
        <v>171.6</v>
      </c>
      <c r="AD43" s="2">
        <f t="shared" si="0"/>
        <v>3.6299999999999955</v>
      </c>
      <c r="AE43" s="138">
        <f t="shared" si="1"/>
        <v>2.6315789473684292E-2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206.36640000000003</v>
      </c>
      <c r="Q44" s="2"/>
      <c r="T44" s="136" t="s">
        <v>100</v>
      </c>
      <c r="U44" s="88" t="s">
        <v>569</v>
      </c>
      <c r="W44" s="133">
        <v>42692</v>
      </c>
      <c r="X44" s="10">
        <v>166.75</v>
      </c>
      <c r="Y44" s="10">
        <v>169.16</v>
      </c>
      <c r="Z44" s="10">
        <v>166.75</v>
      </c>
      <c r="AA44" s="10">
        <v>168.16</v>
      </c>
      <c r="AB44" s="95">
        <v>1952400</v>
      </c>
      <c r="AC44" s="10">
        <v>167.2</v>
      </c>
      <c r="AD44" s="2">
        <f t="shared" si="0"/>
        <v>2.4099999999999966</v>
      </c>
      <c r="AE44" s="138">
        <f t="shared" si="1"/>
        <v>6.6831236076825284E-3</v>
      </c>
    </row>
    <row r="45" spans="1:31" x14ac:dyDescent="0.25">
      <c r="O45" s="83">
        <v>1.07</v>
      </c>
      <c r="P45" s="83">
        <f t="shared" si="3"/>
        <v>204.45560000000003</v>
      </c>
      <c r="Q45" s="2"/>
      <c r="T45" s="136" t="s">
        <v>101</v>
      </c>
      <c r="U45" s="88" t="s">
        <v>570</v>
      </c>
      <c r="W45" s="133">
        <v>42691</v>
      </c>
      <c r="X45" s="10">
        <v>167.35</v>
      </c>
      <c r="Y45" s="10">
        <v>169.02</v>
      </c>
      <c r="Z45" s="10">
        <v>166.02</v>
      </c>
      <c r="AA45" s="10">
        <v>167.04</v>
      </c>
      <c r="AB45" s="95">
        <v>1810000</v>
      </c>
      <c r="AC45" s="10">
        <v>166.09</v>
      </c>
      <c r="AD45" s="2">
        <f t="shared" si="0"/>
        <v>3</v>
      </c>
      <c r="AE45" s="138">
        <f t="shared" si="1"/>
        <v>-4.733940556088112E-3</v>
      </c>
    </row>
    <row r="46" spans="1:31" x14ac:dyDescent="0.25">
      <c r="O46" s="83">
        <v>1.06</v>
      </c>
      <c r="P46" s="83">
        <f t="shared" si="3"/>
        <v>202.54480000000001</v>
      </c>
      <c r="Q46" s="2"/>
      <c r="T46" s="136" t="s">
        <v>102</v>
      </c>
      <c r="U46" s="88">
        <v>212</v>
      </c>
      <c r="W46" s="133">
        <v>42690</v>
      </c>
      <c r="X46" s="10">
        <v>166.3</v>
      </c>
      <c r="Y46" s="10">
        <v>168.17</v>
      </c>
      <c r="Z46" s="10">
        <v>165.75</v>
      </c>
      <c r="AA46" s="10">
        <v>167.83</v>
      </c>
      <c r="AB46" s="95">
        <v>1333300</v>
      </c>
      <c r="AC46" s="10">
        <v>166.88</v>
      </c>
      <c r="AD46" s="2">
        <f t="shared" si="0"/>
        <v>2.4199999999999875</v>
      </c>
      <c r="AE46" s="138">
        <f t="shared" si="1"/>
        <v>8.338368580060429E-3</v>
      </c>
    </row>
    <row r="47" spans="1:31" x14ac:dyDescent="0.25">
      <c r="O47" s="83">
        <v>1.05</v>
      </c>
      <c r="P47" s="83">
        <f t="shared" si="3"/>
        <v>200.63400000000001</v>
      </c>
      <c r="Q47" s="2"/>
      <c r="T47" s="136" t="s">
        <v>103</v>
      </c>
      <c r="U47" s="88">
        <v>1.11208</v>
      </c>
      <c r="W47" s="133">
        <v>42689</v>
      </c>
      <c r="X47" s="10">
        <v>164.83</v>
      </c>
      <c r="Y47" s="10">
        <v>167.5</v>
      </c>
      <c r="Z47" s="10">
        <v>163.61000000000001</v>
      </c>
      <c r="AA47" s="10">
        <v>166.45</v>
      </c>
      <c r="AB47" s="95">
        <v>2538000</v>
      </c>
      <c r="AC47" s="10">
        <v>165.5</v>
      </c>
      <c r="AD47" s="2">
        <f t="shared" si="0"/>
        <v>3.8899999999999864</v>
      </c>
      <c r="AE47" s="138">
        <f t="shared" si="1"/>
        <v>1.6272643536997311E-2</v>
      </c>
    </row>
    <row r="48" spans="1:31" x14ac:dyDescent="0.25">
      <c r="O48" s="83">
        <v>1.04</v>
      </c>
      <c r="P48" s="83">
        <f t="shared" si="3"/>
        <v>198.72320000000002</v>
      </c>
      <c r="Q48" s="2"/>
      <c r="T48" s="136" t="s">
        <v>104</v>
      </c>
      <c r="U48" s="88" t="s">
        <v>129</v>
      </c>
      <c r="W48" s="133">
        <v>42688</v>
      </c>
      <c r="X48" s="10">
        <v>166.47</v>
      </c>
      <c r="Y48" s="10">
        <v>167.77</v>
      </c>
      <c r="Z48" s="10">
        <v>163.02000000000001</v>
      </c>
      <c r="AA48" s="10">
        <v>163.78</v>
      </c>
      <c r="AB48" s="95">
        <v>2818700</v>
      </c>
      <c r="AC48" s="10">
        <v>162.85</v>
      </c>
      <c r="AD48" s="2">
        <f t="shared" si="0"/>
        <v>4.75</v>
      </c>
      <c r="AE48" s="138">
        <f t="shared" si="1"/>
        <v>-2.2450327150489224E-2</v>
      </c>
    </row>
    <row r="49" spans="1:31" x14ac:dyDescent="0.25">
      <c r="O49" s="83">
        <v>1.03</v>
      </c>
      <c r="P49" s="83">
        <f t="shared" si="3"/>
        <v>196.81240000000003</v>
      </c>
      <c r="Q49" s="2"/>
      <c r="T49" s="136"/>
      <c r="U49" s="88"/>
      <c r="W49" s="133">
        <v>42685</v>
      </c>
      <c r="X49" s="10">
        <v>167.35</v>
      </c>
      <c r="Y49" s="10">
        <v>170</v>
      </c>
      <c r="Z49" s="10">
        <v>165.73</v>
      </c>
      <c r="AA49" s="10">
        <v>167.54</v>
      </c>
      <c r="AB49" s="95">
        <v>2979300</v>
      </c>
      <c r="AC49" s="10">
        <v>166.59</v>
      </c>
      <c r="AD49" s="2">
        <f t="shared" si="0"/>
        <v>4.2700000000000102</v>
      </c>
      <c r="AE49" s="138">
        <f t="shared" si="1"/>
        <v>-2.395353015150592E-3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194.9016</v>
      </c>
      <c r="Q50" s="2"/>
      <c r="T50" s="136" t="s">
        <v>105</v>
      </c>
      <c r="U50" s="88" t="s">
        <v>571</v>
      </c>
      <c r="W50" s="133">
        <v>42684</v>
      </c>
      <c r="X50" s="10">
        <v>173.72</v>
      </c>
      <c r="Y50" s="10">
        <v>174.5</v>
      </c>
      <c r="Z50" s="10">
        <v>163.30000000000001</v>
      </c>
      <c r="AA50" s="10">
        <v>167.94</v>
      </c>
      <c r="AB50" s="95">
        <v>5121700</v>
      </c>
      <c r="AC50" s="10">
        <v>166.99</v>
      </c>
      <c r="AD50" s="2">
        <f t="shared" si="0"/>
        <v>11.199999999999989</v>
      </c>
      <c r="AE50" s="138">
        <f t="shared" si="1"/>
        <v>-3.1549034390767283E-2</v>
      </c>
    </row>
    <row r="51" spans="1:31" x14ac:dyDescent="0.25">
      <c r="O51" s="83">
        <v>1.01</v>
      </c>
      <c r="P51" s="83">
        <f t="shared" si="3"/>
        <v>192.99080000000001</v>
      </c>
      <c r="Q51" s="2"/>
      <c r="T51" s="136" t="s">
        <v>106</v>
      </c>
      <c r="U51" s="88" t="s">
        <v>572</v>
      </c>
      <c r="W51" s="133">
        <v>42683</v>
      </c>
      <c r="X51" s="10">
        <v>171.47</v>
      </c>
      <c r="Y51" s="10">
        <v>176.5</v>
      </c>
      <c r="Z51" s="10">
        <v>171.16</v>
      </c>
      <c r="AA51" s="10">
        <v>173.42</v>
      </c>
      <c r="AB51" s="95">
        <v>3250600</v>
      </c>
      <c r="AC51" s="10">
        <v>172.43</v>
      </c>
      <c r="AD51" s="2">
        <f t="shared" si="0"/>
        <v>5.3400000000000034</v>
      </c>
      <c r="AE51" s="138">
        <f t="shared" si="1"/>
        <v>-2.0228422069435759E-2</v>
      </c>
    </row>
    <row r="52" spans="1:31" x14ac:dyDescent="0.25">
      <c r="O52" s="83">
        <v>1</v>
      </c>
      <c r="P52" s="83">
        <f t="shared" si="3"/>
        <v>191.08</v>
      </c>
      <c r="Q52" s="2"/>
      <c r="T52" s="136" t="s">
        <v>107</v>
      </c>
      <c r="U52" s="90">
        <v>5762335</v>
      </c>
      <c r="W52" s="133">
        <v>42682</v>
      </c>
      <c r="X52" s="10">
        <v>177.07</v>
      </c>
      <c r="Y52" s="10">
        <v>178.02</v>
      </c>
      <c r="Z52" s="10">
        <v>175.11</v>
      </c>
      <c r="AA52" s="10">
        <v>177</v>
      </c>
      <c r="AB52" s="95">
        <v>1892300</v>
      </c>
      <c r="AC52" s="10">
        <v>175.99</v>
      </c>
      <c r="AD52" s="2">
        <f t="shared" si="0"/>
        <v>2.9099999999999966</v>
      </c>
      <c r="AE52" s="138">
        <f t="shared" si="1"/>
        <v>2.2733731173629756E-4</v>
      </c>
    </row>
    <row r="53" spans="1:31" x14ac:dyDescent="0.25">
      <c r="O53" s="83">
        <v>0.99</v>
      </c>
      <c r="P53" s="83">
        <f t="shared" si="3"/>
        <v>189.16920000000002</v>
      </c>
      <c r="Q53" s="2"/>
      <c r="T53" s="136" t="s">
        <v>110</v>
      </c>
      <c r="U53" s="90">
        <v>2790130</v>
      </c>
      <c r="W53" s="133">
        <v>42681</v>
      </c>
      <c r="X53" s="10">
        <v>174.39</v>
      </c>
      <c r="Y53" s="10">
        <v>177.88</v>
      </c>
      <c r="Z53" s="10">
        <v>174.11</v>
      </c>
      <c r="AA53" s="10">
        <v>176.96</v>
      </c>
      <c r="AB53" s="95">
        <v>2612600</v>
      </c>
      <c r="AC53" s="10">
        <v>175.95</v>
      </c>
      <c r="AD53" s="2">
        <f t="shared" si="0"/>
        <v>3.7699999999999818</v>
      </c>
      <c r="AE53" s="138">
        <f t="shared" si="1"/>
        <v>2.7805362462760552E-2</v>
      </c>
    </row>
    <row r="54" spans="1:31" x14ac:dyDescent="0.25">
      <c r="O54" s="83">
        <v>0.98</v>
      </c>
      <c r="P54" s="83">
        <f t="shared" si="3"/>
        <v>187.25840000000002</v>
      </c>
      <c r="Q54" s="2"/>
      <c r="T54" s="136" t="s">
        <v>108</v>
      </c>
      <c r="U54" s="88" t="s">
        <v>573</v>
      </c>
      <c r="W54" s="133">
        <v>42678</v>
      </c>
      <c r="X54" s="10">
        <v>170.4</v>
      </c>
      <c r="Y54" s="10">
        <v>174.53</v>
      </c>
      <c r="Z54" s="10">
        <v>170.23</v>
      </c>
      <c r="AA54" s="10">
        <v>172.17</v>
      </c>
      <c r="AB54" s="95">
        <v>2175300</v>
      </c>
      <c r="AC54" s="10">
        <v>171.19</v>
      </c>
      <c r="AD54" s="2">
        <f t="shared" si="0"/>
        <v>4.3000000000000114</v>
      </c>
      <c r="AE54" s="138">
        <f t="shared" si="1"/>
        <v>-4.7671646997267114E-3</v>
      </c>
    </row>
    <row r="55" spans="1:31" x14ac:dyDescent="0.25">
      <c r="O55" s="83">
        <v>0.97</v>
      </c>
      <c r="P55" s="83">
        <f t="shared" si="3"/>
        <v>185.3476</v>
      </c>
      <c r="T55" s="136" t="s">
        <v>111</v>
      </c>
      <c r="U55" s="88" t="s">
        <v>129</v>
      </c>
      <c r="W55" s="133">
        <v>42677</v>
      </c>
      <c r="X55" s="10">
        <v>172.45</v>
      </c>
      <c r="Y55" s="10">
        <v>175.34</v>
      </c>
      <c r="Z55" s="10">
        <v>172.15</v>
      </c>
      <c r="AA55" s="10">
        <v>172.99</v>
      </c>
      <c r="AB55" s="95">
        <v>2065400</v>
      </c>
      <c r="AC55" s="10">
        <v>172.01</v>
      </c>
      <c r="AD55" s="2">
        <f t="shared" si="0"/>
        <v>3.1899999999999977</v>
      </c>
      <c r="AE55" s="138">
        <f t="shared" si="1"/>
        <v>2.5061195943580916E-3</v>
      </c>
    </row>
    <row r="56" spans="1:31" x14ac:dyDescent="0.25">
      <c r="O56" s="83">
        <v>0.96</v>
      </c>
      <c r="P56" s="83">
        <f t="shared" si="3"/>
        <v>183.43680000000001</v>
      </c>
      <c r="T56" s="136" t="s">
        <v>112</v>
      </c>
      <c r="U56" s="88">
        <v>-4.75</v>
      </c>
      <c r="W56" s="133">
        <v>42676</v>
      </c>
      <c r="X56" s="10">
        <v>172.91</v>
      </c>
      <c r="Y56" s="10">
        <v>174.15</v>
      </c>
      <c r="Z56" s="10">
        <v>169.81</v>
      </c>
      <c r="AA56" s="10">
        <v>172.56</v>
      </c>
      <c r="AB56" s="95">
        <v>4350100</v>
      </c>
      <c r="AC56" s="10">
        <v>171.58</v>
      </c>
      <c r="AD56" s="2">
        <f t="shared" si="0"/>
        <v>4.3400000000000034</v>
      </c>
      <c r="AE56" s="138">
        <f t="shared" si="1"/>
        <v>2.2283126787416618E-2</v>
      </c>
    </row>
    <row r="57" spans="1:31" x14ac:dyDescent="0.25">
      <c r="O57" s="83">
        <v>0.95</v>
      </c>
      <c r="P57" s="83">
        <f t="shared" si="3"/>
        <v>181.52600000000001</v>
      </c>
      <c r="T57" s="136" t="s">
        <v>109</v>
      </c>
      <c r="U57" s="88" t="s">
        <v>646</v>
      </c>
      <c r="W57" s="133">
        <v>42675</v>
      </c>
      <c r="X57" s="10">
        <v>170.72</v>
      </c>
      <c r="Y57" s="10">
        <v>171.55</v>
      </c>
      <c r="Z57" s="10">
        <v>165.83</v>
      </c>
      <c r="AA57" s="10">
        <v>168.8</v>
      </c>
      <c r="AB57" s="95">
        <v>2845200</v>
      </c>
      <c r="AC57" s="10">
        <v>167.84</v>
      </c>
      <c r="AD57" s="2">
        <f t="shared" si="0"/>
        <v>5.7199999999999989</v>
      </c>
      <c r="AE57" s="138">
        <f t="shared" si="1"/>
        <v>-8.6822987419525877E-3</v>
      </c>
    </row>
    <row r="58" spans="1:31" x14ac:dyDescent="0.25">
      <c r="O58" s="83">
        <v>0.94</v>
      </c>
      <c r="P58" s="83">
        <f t="shared" si="3"/>
        <v>179.61520000000002</v>
      </c>
      <c r="W58" s="133">
        <v>42674</v>
      </c>
      <c r="X58" s="10">
        <v>170</v>
      </c>
      <c r="Y58" s="10">
        <v>171.66</v>
      </c>
      <c r="Z58" s="10">
        <v>168.69</v>
      </c>
      <c r="AA58" s="10">
        <v>170.28</v>
      </c>
      <c r="AB58" s="95">
        <v>2031700</v>
      </c>
      <c r="AC58" s="10">
        <v>169.31</v>
      </c>
      <c r="AD58" s="2">
        <f t="shared" si="0"/>
        <v>2.9699999999999989</v>
      </c>
      <c r="AE58" s="138">
        <f t="shared" si="1"/>
        <v>5.4635073341648965E-3</v>
      </c>
    </row>
    <row r="59" spans="1:31" x14ac:dyDescent="0.25">
      <c r="O59" s="83">
        <v>0.93</v>
      </c>
      <c r="P59" s="83">
        <f t="shared" si="3"/>
        <v>177.70440000000002</v>
      </c>
      <c r="W59" s="133">
        <v>42671</v>
      </c>
      <c r="X59" s="10">
        <v>172.49</v>
      </c>
      <c r="Y59" s="10">
        <v>172.87</v>
      </c>
      <c r="Z59" s="10">
        <v>169.04</v>
      </c>
      <c r="AA59" s="10">
        <v>169.35</v>
      </c>
      <c r="AB59" s="95">
        <v>2065100</v>
      </c>
      <c r="AC59" s="10">
        <v>168.39</v>
      </c>
      <c r="AD59" s="2">
        <f t="shared" si="0"/>
        <v>3.8300000000000125</v>
      </c>
      <c r="AE59" s="138">
        <f t="shared" si="1"/>
        <v>-1.6758145509751299E-2</v>
      </c>
    </row>
    <row r="60" spans="1:31" x14ac:dyDescent="0.25">
      <c r="O60" s="83">
        <v>0.92</v>
      </c>
      <c r="P60" s="83">
        <f t="shared" si="3"/>
        <v>175.79360000000003</v>
      </c>
      <c r="W60" s="133">
        <v>42670</v>
      </c>
      <c r="X60" s="10">
        <v>174.31</v>
      </c>
      <c r="Y60" s="10">
        <v>175.25</v>
      </c>
      <c r="Z60" s="10">
        <v>171.78</v>
      </c>
      <c r="AA60" s="10">
        <v>172.24</v>
      </c>
      <c r="AB60" s="95">
        <v>1984000</v>
      </c>
      <c r="AC60" s="10">
        <v>171.26</v>
      </c>
      <c r="AD60" s="2">
        <f t="shared" si="0"/>
        <v>3.4699999999999989</v>
      </c>
      <c r="AE60" s="138">
        <f t="shared" si="1"/>
        <v>-4.4180909196606111E-3</v>
      </c>
    </row>
    <row r="61" spans="1:31" x14ac:dyDescent="0.25">
      <c r="O61" s="83">
        <v>0.91</v>
      </c>
      <c r="P61" s="83">
        <f t="shared" si="3"/>
        <v>173.8828</v>
      </c>
      <c r="W61" s="133">
        <v>42669</v>
      </c>
      <c r="X61" s="10">
        <v>172.15</v>
      </c>
      <c r="Y61" s="10">
        <v>174.78</v>
      </c>
      <c r="Z61" s="10">
        <v>171.1</v>
      </c>
      <c r="AA61" s="10">
        <v>173</v>
      </c>
      <c r="AB61" s="95">
        <v>2107500</v>
      </c>
      <c r="AC61" s="10">
        <v>172.02</v>
      </c>
      <c r="AD61" s="2">
        <f t="shared" si="0"/>
        <v>3.6800000000000068</v>
      </c>
      <c r="AE61" s="138">
        <f t="shared" si="1"/>
        <v>-3.7067068226571687E-3</v>
      </c>
    </row>
    <row r="62" spans="1:31" x14ac:dyDescent="0.25">
      <c r="O62" s="83">
        <v>0.9</v>
      </c>
      <c r="P62" s="83">
        <f t="shared" si="3"/>
        <v>171.97200000000001</v>
      </c>
      <c r="W62" s="133">
        <v>42668</v>
      </c>
      <c r="X62" s="10">
        <v>176.03</v>
      </c>
      <c r="Y62" s="10">
        <v>176.5</v>
      </c>
      <c r="Z62" s="10">
        <v>173.51</v>
      </c>
      <c r="AA62" s="10">
        <v>173.65</v>
      </c>
      <c r="AB62" s="95">
        <v>2162200</v>
      </c>
      <c r="AC62" s="10">
        <v>172.66</v>
      </c>
      <c r="AD62" s="2">
        <f t="shared" si="0"/>
        <v>2.9900000000000091</v>
      </c>
      <c r="AE62" s="138">
        <f t="shared" si="1"/>
        <v>-1.646254628311028E-2</v>
      </c>
    </row>
    <row r="63" spans="1:31" x14ac:dyDescent="0.25">
      <c r="W63" s="133">
        <v>42667</v>
      </c>
      <c r="X63" s="10">
        <v>174.16</v>
      </c>
      <c r="Y63" s="10">
        <v>177</v>
      </c>
      <c r="Z63" s="10">
        <v>173.56</v>
      </c>
      <c r="AA63" s="10">
        <v>176.55</v>
      </c>
      <c r="AB63" s="95">
        <v>1977200</v>
      </c>
      <c r="AC63" s="10">
        <v>175.55</v>
      </c>
      <c r="AD63" s="2">
        <f t="shared" si="0"/>
        <v>3.4399999999999977</v>
      </c>
      <c r="AE63" s="138">
        <f t="shared" si="1"/>
        <v>2.0995696173083722E-2</v>
      </c>
    </row>
    <row r="64" spans="1:31" x14ac:dyDescent="0.25">
      <c r="W64" s="133">
        <v>42664</v>
      </c>
      <c r="X64" s="10">
        <v>172.29</v>
      </c>
      <c r="Y64" s="10">
        <v>173.4</v>
      </c>
      <c r="Z64" s="10">
        <v>170.7</v>
      </c>
      <c r="AA64" s="10">
        <v>172.92</v>
      </c>
      <c r="AB64" s="95">
        <v>1584200</v>
      </c>
      <c r="AC64" s="10">
        <v>171.94</v>
      </c>
      <c r="AD64" s="2">
        <f t="shared" si="0"/>
        <v>2.7000000000000171</v>
      </c>
      <c r="AE64" s="138">
        <f t="shared" si="1"/>
        <v>-2.7838997796079124E-3</v>
      </c>
    </row>
    <row r="65" spans="23:31" x14ac:dyDescent="0.25">
      <c r="W65" s="133">
        <v>42663</v>
      </c>
      <c r="X65" s="10">
        <v>171.66</v>
      </c>
      <c r="Y65" s="10">
        <v>174.58</v>
      </c>
      <c r="Z65" s="10">
        <v>171.02</v>
      </c>
      <c r="AA65" s="10">
        <v>173.41</v>
      </c>
      <c r="AB65" s="95">
        <v>1896100</v>
      </c>
      <c r="AC65" s="10">
        <v>172.42</v>
      </c>
      <c r="AD65" s="2">
        <f t="shared" si="0"/>
        <v>3.5600000000000023</v>
      </c>
      <c r="AE65" s="138">
        <f t="shared" si="1"/>
        <v>8.953127742992617E-3</v>
      </c>
    </row>
    <row r="66" spans="23:31" x14ac:dyDescent="0.25">
      <c r="W66" s="133">
        <v>42662</v>
      </c>
      <c r="X66" s="10">
        <v>171.17</v>
      </c>
      <c r="Y66" s="10">
        <v>172.28</v>
      </c>
      <c r="Z66" s="10">
        <v>170.11</v>
      </c>
      <c r="AA66" s="10">
        <v>171.87</v>
      </c>
      <c r="AB66" s="95">
        <v>2044000</v>
      </c>
      <c r="AC66" s="10">
        <v>170.89</v>
      </c>
      <c r="AD66" s="2">
        <f t="shared" si="0"/>
        <v>2.1699999999999875</v>
      </c>
      <c r="AE66" s="138">
        <f t="shared" si="1"/>
        <v>-1.7524388106782141E-3</v>
      </c>
    </row>
    <row r="67" spans="23:31" x14ac:dyDescent="0.25">
      <c r="W67" s="133">
        <v>42661</v>
      </c>
      <c r="X67" s="10">
        <v>170.65</v>
      </c>
      <c r="Y67" s="10">
        <v>172.87</v>
      </c>
      <c r="Z67" s="10">
        <v>170.54</v>
      </c>
      <c r="AA67" s="10">
        <v>172.17</v>
      </c>
      <c r="AB67" s="95">
        <v>1416700</v>
      </c>
      <c r="AC67" s="10">
        <v>171.19</v>
      </c>
      <c r="AD67" s="2">
        <f>Y67-Z67</f>
        <v>2.3300000000000125</v>
      </c>
      <c r="AE67" s="138">
        <f>AC67/AC68-1</f>
        <v>1.9473558837541649E-2</v>
      </c>
    </row>
    <row r="68" spans="23:31" x14ac:dyDescent="0.25">
      <c r="W68" s="133">
        <v>42660</v>
      </c>
      <c r="X68" s="10">
        <v>169.7</v>
      </c>
      <c r="Y68" s="10">
        <v>170.95</v>
      </c>
      <c r="Z68" s="10">
        <v>168.73</v>
      </c>
      <c r="AA68" s="10">
        <v>168.88</v>
      </c>
      <c r="AB68" s="95">
        <v>1274100</v>
      </c>
      <c r="AC68" s="10">
        <v>167.92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258</v>
      </c>
      <c r="W2" s="133">
        <v>42755</v>
      </c>
      <c r="X2" s="10">
        <v>74.3</v>
      </c>
      <c r="Y2" s="10">
        <v>75.48</v>
      </c>
      <c r="Z2" s="10">
        <v>74.09</v>
      </c>
      <c r="AA2" s="10">
        <v>75.239999999999995</v>
      </c>
      <c r="AB2" s="95">
        <v>2883800</v>
      </c>
      <c r="AC2" s="10">
        <v>75.239999999999995</v>
      </c>
      <c r="AD2" s="2">
        <f>Y2-Z2</f>
        <v>1.3900000000000006</v>
      </c>
      <c r="AE2" s="138">
        <f>AC2/AC3-1</f>
        <v>1.6482031883274795E-2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75.239999999999995</v>
      </c>
      <c r="T3" s="1"/>
      <c r="W3" s="133">
        <v>42754</v>
      </c>
      <c r="X3" s="10">
        <v>74.06</v>
      </c>
      <c r="Y3" s="10">
        <v>74.84</v>
      </c>
      <c r="Z3" s="10">
        <v>73.260000000000005</v>
      </c>
      <c r="AA3" s="10">
        <v>74.02</v>
      </c>
      <c r="AB3" s="95">
        <v>2763300</v>
      </c>
      <c r="AC3" s="10">
        <v>74.02</v>
      </c>
      <c r="AD3" s="2">
        <f t="shared" ref="AD3:AD66" si="0">Y3-Z3</f>
        <v>1.5799999999999983</v>
      </c>
      <c r="AE3" s="138">
        <f t="shared" ref="AE3:AE66" si="1">AC3/AC4-1</f>
        <v>2.7027027027015649E-4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75.239999999999995</v>
      </c>
      <c r="R4" s="505">
        <v>1.6500000000000001E-2</v>
      </c>
      <c r="T4" s="163"/>
      <c r="W4" s="133">
        <v>42753</v>
      </c>
      <c r="X4" s="10">
        <v>73</v>
      </c>
      <c r="Y4" s="10">
        <v>74.930000000000007</v>
      </c>
      <c r="Z4" s="10">
        <v>72.41</v>
      </c>
      <c r="AA4" s="10">
        <v>74</v>
      </c>
      <c r="AB4" s="95">
        <v>4568900</v>
      </c>
      <c r="AC4" s="10">
        <v>74</v>
      </c>
      <c r="AD4" s="2">
        <f t="shared" si="0"/>
        <v>2.5200000000000102</v>
      </c>
      <c r="AE4" s="138">
        <f t="shared" si="1"/>
        <v>3.5259018171955869E-3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42752</v>
      </c>
      <c r="X5" s="10">
        <v>73.94</v>
      </c>
      <c r="Y5" s="10">
        <v>75.09</v>
      </c>
      <c r="Z5" s="10">
        <v>73.55</v>
      </c>
      <c r="AA5" s="10">
        <v>73.739999999999995</v>
      </c>
      <c r="AB5" s="95">
        <v>3109800</v>
      </c>
      <c r="AC5" s="10">
        <v>73.739999999999995</v>
      </c>
      <c r="AD5" s="2">
        <f t="shared" si="0"/>
        <v>1.5400000000000063</v>
      </c>
      <c r="AE5" s="138">
        <f t="shared" si="1"/>
        <v>-7.8040904198062311E-3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42748</v>
      </c>
      <c r="X6" s="10">
        <v>74.03</v>
      </c>
      <c r="Y6" s="10">
        <v>74.75</v>
      </c>
      <c r="Z6" s="10">
        <v>73.89</v>
      </c>
      <c r="AA6" s="10">
        <v>74.319999999999993</v>
      </c>
      <c r="AB6" s="95">
        <v>2149500</v>
      </c>
      <c r="AC6" s="10">
        <v>74.319999999999993</v>
      </c>
      <c r="AD6" s="2">
        <f t="shared" si="0"/>
        <v>0.85999999999999943</v>
      </c>
      <c r="AE6" s="138">
        <f t="shared" si="1"/>
        <v>4.3243243243242802E-3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42747</v>
      </c>
      <c r="X7" s="10">
        <v>74.64</v>
      </c>
      <c r="Y7" s="10">
        <v>75.64</v>
      </c>
      <c r="Z7" s="10">
        <v>72.900000000000006</v>
      </c>
      <c r="AA7" s="10">
        <v>74</v>
      </c>
      <c r="AB7" s="95">
        <v>4127800</v>
      </c>
      <c r="AC7" s="10">
        <v>74</v>
      </c>
      <c r="AD7" s="2">
        <f t="shared" si="0"/>
        <v>2.7399999999999949</v>
      </c>
      <c r="AE7" s="138">
        <f t="shared" si="1"/>
        <v>-1.3859275053304976E-2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42746</v>
      </c>
      <c r="X8" s="10">
        <v>75.510000000000005</v>
      </c>
      <c r="Y8" s="10">
        <v>76.75</v>
      </c>
      <c r="Z8" s="10">
        <v>74.94</v>
      </c>
      <c r="AA8" s="10">
        <v>75.040000000000006</v>
      </c>
      <c r="AB8" s="95">
        <v>5180000</v>
      </c>
      <c r="AC8" s="10">
        <v>75.040000000000006</v>
      </c>
      <c r="AD8" s="2">
        <f t="shared" si="0"/>
        <v>1.8100000000000023</v>
      </c>
      <c r="AE8" s="138">
        <f t="shared" si="1"/>
        <v>1.873472712462676E-2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215</v>
      </c>
      <c r="Q9" s="138">
        <f>IF(Q2=0, 0, Q8/Q6)</f>
        <v>0</v>
      </c>
      <c r="W9" s="133">
        <v>42745</v>
      </c>
      <c r="X9" s="10">
        <v>71.47</v>
      </c>
      <c r="Y9" s="10">
        <v>74.34</v>
      </c>
      <c r="Z9" s="10">
        <v>71.44</v>
      </c>
      <c r="AA9" s="10">
        <v>73.66</v>
      </c>
      <c r="AB9" s="95">
        <v>3356900</v>
      </c>
      <c r="AC9" s="10">
        <v>73.66</v>
      </c>
      <c r="AD9" s="2">
        <f t="shared" si="0"/>
        <v>2.9000000000000057</v>
      </c>
      <c r="AE9" s="138">
        <f t="shared" si="1"/>
        <v>3.338945005611671E-2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214</v>
      </c>
      <c r="P10" s="34"/>
      <c r="Q10" s="2">
        <f>M75</f>
        <v>1461.5600000000013</v>
      </c>
      <c r="W10" s="133">
        <v>42744</v>
      </c>
      <c r="X10" s="10">
        <v>71.06</v>
      </c>
      <c r="Y10" s="10">
        <v>72</v>
      </c>
      <c r="Z10" s="10">
        <v>70.88</v>
      </c>
      <c r="AA10" s="10">
        <v>71.28</v>
      </c>
      <c r="AB10" s="95">
        <v>1930800</v>
      </c>
      <c r="AC10" s="10">
        <v>71.28</v>
      </c>
      <c r="AD10" s="2">
        <f t="shared" si="0"/>
        <v>1.1200000000000045</v>
      </c>
      <c r="AE10" s="138">
        <f t="shared" si="1"/>
        <v>-1.2610340479193294E-3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70.98</v>
      </c>
      <c r="Y11" s="10">
        <v>71.89</v>
      </c>
      <c r="Z11" s="10">
        <v>69.75</v>
      </c>
      <c r="AA11" s="10">
        <v>71.37</v>
      </c>
      <c r="AB11" s="95">
        <v>3648100</v>
      </c>
      <c r="AC11" s="10">
        <v>71.37</v>
      </c>
      <c r="AD11" s="2">
        <f t="shared" si="0"/>
        <v>2.1400000000000006</v>
      </c>
      <c r="AE11" s="138">
        <f t="shared" si="1"/>
        <v>6.2032990272098409E-3</v>
      </c>
    </row>
    <row r="12" spans="1:31" x14ac:dyDescent="0.25">
      <c r="W12" s="133">
        <v>42740</v>
      </c>
      <c r="X12" s="10">
        <v>71.989999999999995</v>
      </c>
      <c r="Y12" s="10">
        <v>73</v>
      </c>
      <c r="Z12" s="10">
        <v>70.31</v>
      </c>
      <c r="AA12" s="10">
        <v>70.930000000000007</v>
      </c>
      <c r="AB12" s="95">
        <v>3577600</v>
      </c>
      <c r="AC12" s="10">
        <v>70.930000000000007</v>
      </c>
      <c r="AD12" s="2">
        <f t="shared" si="0"/>
        <v>2.6899999999999977</v>
      </c>
      <c r="AE12" s="138">
        <f t="shared" si="1"/>
        <v>-2.8622295261572006E-2</v>
      </c>
    </row>
    <row r="13" spans="1:31" x14ac:dyDescent="0.25">
      <c r="W13" s="133">
        <v>42739</v>
      </c>
      <c r="X13" s="10">
        <v>72.45</v>
      </c>
      <c r="Y13" s="10">
        <v>73.790000000000006</v>
      </c>
      <c r="Z13" s="10">
        <v>72.45</v>
      </c>
      <c r="AA13" s="10">
        <v>73.02</v>
      </c>
      <c r="AB13" s="95">
        <v>2196800</v>
      </c>
      <c r="AC13" s="10">
        <v>73.02</v>
      </c>
      <c r="AD13" s="2">
        <f t="shared" si="0"/>
        <v>1.3400000000000034</v>
      </c>
      <c r="AE13" s="138">
        <f t="shared" si="1"/>
        <v>4.2635125842387378E-3</v>
      </c>
    </row>
    <row r="14" spans="1:31" x14ac:dyDescent="0.25">
      <c r="W14" s="133">
        <v>42738</v>
      </c>
      <c r="X14" s="10">
        <v>74.02</v>
      </c>
      <c r="Y14" s="10">
        <v>74.02</v>
      </c>
      <c r="Z14" s="10">
        <v>72.150000000000006</v>
      </c>
      <c r="AA14" s="10">
        <v>72.709999999999994</v>
      </c>
      <c r="AB14" s="95">
        <v>2516000</v>
      </c>
      <c r="AC14" s="10">
        <v>72.709999999999994</v>
      </c>
      <c r="AD14" s="2">
        <f t="shared" si="0"/>
        <v>1.8699999999999903</v>
      </c>
      <c r="AE14" s="138">
        <f t="shared" si="1"/>
        <v>-2.3326015367728381E-3</v>
      </c>
    </row>
    <row r="15" spans="1:31" x14ac:dyDescent="0.25">
      <c r="W15" s="133">
        <v>42734</v>
      </c>
      <c r="X15" s="10">
        <v>73.430000000000007</v>
      </c>
      <c r="Y15" s="10">
        <v>73.430000000000007</v>
      </c>
      <c r="Z15" s="10">
        <v>72.37</v>
      </c>
      <c r="AA15" s="10">
        <v>72.88</v>
      </c>
      <c r="AB15" s="95">
        <v>1704600</v>
      </c>
      <c r="AC15" s="10">
        <v>72.88</v>
      </c>
      <c r="AD15" s="2">
        <f t="shared" si="0"/>
        <v>1.0600000000000023</v>
      </c>
      <c r="AE15" s="138">
        <f t="shared" si="1"/>
        <v>-5.4585152838428908E-3</v>
      </c>
    </row>
    <row r="16" spans="1:31" x14ac:dyDescent="0.25">
      <c r="W16" s="133">
        <v>42733</v>
      </c>
      <c r="X16" s="10">
        <v>73.53</v>
      </c>
      <c r="Y16" s="10">
        <v>74.19</v>
      </c>
      <c r="Z16" s="10">
        <v>72.930000000000007</v>
      </c>
      <c r="AA16" s="10">
        <v>73.28</v>
      </c>
      <c r="AB16" s="95">
        <v>1272400</v>
      </c>
      <c r="AC16" s="10">
        <v>73.28</v>
      </c>
      <c r="AD16" s="2">
        <f t="shared" si="0"/>
        <v>1.2599999999999909</v>
      </c>
      <c r="AE16" s="138">
        <f t="shared" si="1"/>
        <v>-3.3999728002176433E-3</v>
      </c>
    </row>
    <row r="17" spans="1:31" x14ac:dyDescent="0.25">
      <c r="W17" s="133">
        <v>42732</v>
      </c>
      <c r="X17" s="10">
        <v>75</v>
      </c>
      <c r="Y17" s="10">
        <v>75.180000000000007</v>
      </c>
      <c r="Z17" s="10">
        <v>73.349999999999994</v>
      </c>
      <c r="AA17" s="10">
        <v>73.53</v>
      </c>
      <c r="AB17" s="95">
        <v>1935400</v>
      </c>
      <c r="AC17" s="10">
        <v>73.53</v>
      </c>
      <c r="AD17" s="2">
        <f t="shared" si="0"/>
        <v>1.8300000000000125</v>
      </c>
      <c r="AE17" s="138">
        <f t="shared" si="1"/>
        <v>-1.5267175572519109E-2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42731</v>
      </c>
      <c r="X18" s="10">
        <v>74.78</v>
      </c>
      <c r="Y18" s="10">
        <v>75.22</v>
      </c>
      <c r="Z18" s="10">
        <v>74.5</v>
      </c>
      <c r="AA18" s="10">
        <v>74.67</v>
      </c>
      <c r="AB18" s="95">
        <v>1092400</v>
      </c>
      <c r="AC18" s="10">
        <v>74.67</v>
      </c>
      <c r="AD18" s="2">
        <f t="shared" si="0"/>
        <v>0.71999999999999886</v>
      </c>
      <c r="AE18" s="138">
        <f t="shared" si="1"/>
        <v>-1.6044925792219056E-3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74.400000000000006</v>
      </c>
      <c r="Y19" s="10">
        <v>74.83</v>
      </c>
      <c r="Z19" s="10">
        <v>74.13</v>
      </c>
      <c r="AA19" s="10">
        <v>74.790000000000006</v>
      </c>
      <c r="AB19" s="95">
        <v>1616800</v>
      </c>
      <c r="AC19" s="10">
        <v>74.790000000000006</v>
      </c>
      <c r="AD19" s="2">
        <f t="shared" si="0"/>
        <v>0.70000000000000284</v>
      </c>
      <c r="AE19" s="138">
        <f t="shared" si="1"/>
        <v>8.0873433077235379E-3</v>
      </c>
    </row>
    <row r="20" spans="1:31" x14ac:dyDescent="0.25">
      <c r="W20" s="133">
        <v>42726</v>
      </c>
      <c r="X20" s="10">
        <v>75.62</v>
      </c>
      <c r="Y20" s="10">
        <v>75.73</v>
      </c>
      <c r="Z20" s="10">
        <v>73.8</v>
      </c>
      <c r="AA20" s="10">
        <v>74.19</v>
      </c>
      <c r="AB20" s="95">
        <v>2292700</v>
      </c>
      <c r="AC20" s="10">
        <v>74.19</v>
      </c>
      <c r="AD20" s="2">
        <f t="shared" si="0"/>
        <v>1.9300000000000068</v>
      </c>
      <c r="AE20" s="138">
        <f t="shared" si="1"/>
        <v>-2.0206022187004735E-2</v>
      </c>
    </row>
    <row r="21" spans="1:31" x14ac:dyDescent="0.25">
      <c r="W21" s="133">
        <v>42725</v>
      </c>
      <c r="X21" s="10">
        <v>75.73</v>
      </c>
      <c r="Y21" s="10">
        <v>76.099999999999994</v>
      </c>
      <c r="Z21" s="10">
        <v>75.16</v>
      </c>
      <c r="AA21" s="10">
        <v>75.72</v>
      </c>
      <c r="AB21" s="95">
        <v>1542100</v>
      </c>
      <c r="AC21" s="10">
        <v>75.72</v>
      </c>
      <c r="AD21" s="2">
        <f t="shared" si="0"/>
        <v>0.93999999999999773</v>
      </c>
      <c r="AE21" s="138">
        <f t="shared" si="1"/>
        <v>-4.3392504930965803E-3</v>
      </c>
    </row>
    <row r="22" spans="1:31" x14ac:dyDescent="0.25">
      <c r="W22" s="133">
        <v>42724</v>
      </c>
      <c r="X22" s="10">
        <v>75.319999999999993</v>
      </c>
      <c r="Y22" s="10">
        <v>76.31</v>
      </c>
      <c r="Z22" s="10">
        <v>74.78</v>
      </c>
      <c r="AA22" s="10">
        <v>76.05</v>
      </c>
      <c r="AB22" s="95">
        <v>2814900</v>
      </c>
      <c r="AC22" s="10">
        <v>76.05</v>
      </c>
      <c r="AD22" s="2">
        <f t="shared" si="0"/>
        <v>1.5300000000000011</v>
      </c>
      <c r="AE22" s="138">
        <f t="shared" si="1"/>
        <v>2.1079484425349015E-2</v>
      </c>
    </row>
    <row r="23" spans="1:31" x14ac:dyDescent="0.25">
      <c r="W23" s="133">
        <v>42723</v>
      </c>
      <c r="X23" s="10">
        <v>74.25</v>
      </c>
      <c r="Y23" s="10">
        <v>75.38</v>
      </c>
      <c r="Z23" s="10">
        <v>73.77</v>
      </c>
      <c r="AA23" s="10">
        <v>74.48</v>
      </c>
      <c r="AB23" s="95">
        <v>2585800</v>
      </c>
      <c r="AC23" s="10">
        <v>74.48</v>
      </c>
      <c r="AD23" s="2">
        <f t="shared" si="0"/>
        <v>1.6099999999999994</v>
      </c>
      <c r="AE23" s="138">
        <f t="shared" si="1"/>
        <v>8.0623488309594649E-4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74.91</v>
      </c>
      <c r="Y24" s="10">
        <v>76.2</v>
      </c>
      <c r="Z24" s="10">
        <v>74.06</v>
      </c>
      <c r="AA24" s="10">
        <v>74.42</v>
      </c>
      <c r="AB24" s="95">
        <v>6057900</v>
      </c>
      <c r="AC24" s="10">
        <v>74.42</v>
      </c>
      <c r="AD24" s="2">
        <f t="shared" si="0"/>
        <v>2.1400000000000006</v>
      </c>
      <c r="AE24" s="138">
        <f t="shared" si="1"/>
        <v>-4.9471854526006442E-3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42719</v>
      </c>
      <c r="X25" s="10">
        <v>73.819999999999993</v>
      </c>
      <c r="Y25" s="10">
        <v>76.8</v>
      </c>
      <c r="Z25" s="10">
        <v>73.819999999999993</v>
      </c>
      <c r="AA25" s="10">
        <v>74.790000000000006</v>
      </c>
      <c r="AB25" s="95">
        <v>4739200</v>
      </c>
      <c r="AC25" s="10">
        <v>74.790000000000006</v>
      </c>
      <c r="AD25" s="2">
        <f t="shared" si="0"/>
        <v>2.980000000000004</v>
      </c>
      <c r="AE25" s="138">
        <f t="shared" si="1"/>
        <v>2.5363312311488917E-2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42718</v>
      </c>
      <c r="X26" s="10">
        <v>72.599999999999994</v>
      </c>
      <c r="Y26" s="10">
        <v>74</v>
      </c>
      <c r="Z26" s="10">
        <v>72</v>
      </c>
      <c r="AA26" s="10">
        <v>72.94</v>
      </c>
      <c r="AB26" s="95">
        <v>3786600</v>
      </c>
      <c r="AC26" s="10">
        <v>72.94</v>
      </c>
      <c r="AD26" s="2">
        <f t="shared" si="0"/>
        <v>2</v>
      </c>
      <c r="AE26" s="138">
        <f t="shared" si="1"/>
        <v>5.375603032391485E-3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42717</v>
      </c>
      <c r="X27" s="10">
        <v>73.38</v>
      </c>
      <c r="Y27" s="10">
        <v>73.98</v>
      </c>
      <c r="Z27" s="10">
        <v>72.14</v>
      </c>
      <c r="AA27" s="10">
        <v>72.55</v>
      </c>
      <c r="AB27" s="95">
        <v>2729400</v>
      </c>
      <c r="AC27" s="10">
        <v>72.55</v>
      </c>
      <c r="AD27" s="2">
        <f t="shared" si="0"/>
        <v>1.8400000000000034</v>
      </c>
      <c r="AE27" s="138">
        <f t="shared" si="1"/>
        <v>-9.4210813762970469E-3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42716</v>
      </c>
      <c r="X28" s="10">
        <v>74.3</v>
      </c>
      <c r="Y28" s="10">
        <v>74.36</v>
      </c>
      <c r="Z28" s="10">
        <v>72.69</v>
      </c>
      <c r="AA28" s="10">
        <v>73.239999999999995</v>
      </c>
      <c r="AB28" s="95">
        <v>3107000</v>
      </c>
      <c r="AC28" s="10">
        <v>73.239999999999995</v>
      </c>
      <c r="AD28" s="2">
        <f t="shared" si="0"/>
        <v>1.6700000000000017</v>
      </c>
      <c r="AE28" s="138">
        <f t="shared" si="1"/>
        <v>-2.5675136357589556E-2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42713</v>
      </c>
      <c r="X29" s="10">
        <v>75.02</v>
      </c>
      <c r="Y29" s="10">
        <v>76.13</v>
      </c>
      <c r="Z29" s="10">
        <v>74.44</v>
      </c>
      <c r="AA29" s="10">
        <v>75.17</v>
      </c>
      <c r="AB29" s="95">
        <v>5143000</v>
      </c>
      <c r="AC29" s="10">
        <v>75.17</v>
      </c>
      <c r="AD29" s="2">
        <f t="shared" si="0"/>
        <v>1.6899999999999977</v>
      </c>
      <c r="AE29" s="138">
        <f t="shared" si="1"/>
        <v>3.3406653835578837E-2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42712</v>
      </c>
      <c r="X30" s="10">
        <v>72.459999999999994</v>
      </c>
      <c r="Y30" s="10">
        <v>73.08</v>
      </c>
      <c r="Z30" s="10">
        <v>71.5</v>
      </c>
      <c r="AA30" s="10">
        <v>72.739999999999995</v>
      </c>
      <c r="AB30" s="95">
        <v>2861300</v>
      </c>
      <c r="AC30" s="10">
        <v>72.739999999999995</v>
      </c>
      <c r="AD30" s="2">
        <f t="shared" si="0"/>
        <v>1.5799999999999983</v>
      </c>
      <c r="AE30" s="138">
        <f t="shared" si="1"/>
        <v>4.2799944774263299E-3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42711</v>
      </c>
      <c r="X31" s="10">
        <v>70.680000000000007</v>
      </c>
      <c r="Y31" s="10">
        <v>73</v>
      </c>
      <c r="Z31" s="10">
        <v>70.25</v>
      </c>
      <c r="AA31" s="10">
        <v>72.430000000000007</v>
      </c>
      <c r="AB31" s="95">
        <v>4046400</v>
      </c>
      <c r="AC31" s="10">
        <v>72.430000000000007</v>
      </c>
      <c r="AD31" s="2">
        <f t="shared" si="0"/>
        <v>2.75</v>
      </c>
      <c r="AE31" s="138">
        <f t="shared" si="1"/>
        <v>2.0572072706777522E-2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42710</v>
      </c>
      <c r="X32" s="10">
        <v>69.41</v>
      </c>
      <c r="Y32" s="10">
        <v>71.040000000000006</v>
      </c>
      <c r="Z32" s="10">
        <v>69.010000000000005</v>
      </c>
      <c r="AA32" s="10">
        <v>70.97</v>
      </c>
      <c r="AB32" s="95">
        <v>4367900</v>
      </c>
      <c r="AC32" s="10">
        <v>70.97</v>
      </c>
      <c r="AD32" s="2">
        <f t="shared" si="0"/>
        <v>2.0300000000000011</v>
      </c>
      <c r="AE32" s="138">
        <f t="shared" si="1"/>
        <v>3.9701142689715807E-2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42709</v>
      </c>
      <c r="X33" s="10">
        <v>69.91</v>
      </c>
      <c r="Y33" s="10">
        <v>69.95</v>
      </c>
      <c r="Z33" s="10">
        <v>68</v>
      </c>
      <c r="AA33" s="10">
        <v>68.260000000000005</v>
      </c>
      <c r="AB33" s="95">
        <v>3394300</v>
      </c>
      <c r="AC33" s="10">
        <v>68.260000000000005</v>
      </c>
      <c r="AD33" s="2">
        <f t="shared" si="0"/>
        <v>1.9500000000000028</v>
      </c>
      <c r="AE33" s="138">
        <f t="shared" si="1"/>
        <v>-1.4580626533852947E-2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42706</v>
      </c>
      <c r="X34" s="10">
        <v>69.12</v>
      </c>
      <c r="Y34" s="10">
        <v>69.760000000000005</v>
      </c>
      <c r="Z34" s="10">
        <v>68.540000000000006</v>
      </c>
      <c r="AA34" s="10">
        <v>69.27</v>
      </c>
      <c r="AB34" s="95">
        <v>2577300</v>
      </c>
      <c r="AC34" s="10">
        <v>69.27</v>
      </c>
      <c r="AD34" s="2">
        <f t="shared" si="0"/>
        <v>1.2199999999999989</v>
      </c>
      <c r="AE34" s="138">
        <f t="shared" si="1"/>
        <v>1.1683949174821073E-2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42705</v>
      </c>
      <c r="X35" s="10">
        <v>68.67</v>
      </c>
      <c r="Y35" s="10">
        <v>69.87</v>
      </c>
      <c r="Z35" s="10">
        <v>68.3</v>
      </c>
      <c r="AA35" s="10">
        <v>68.47</v>
      </c>
      <c r="AB35" s="95">
        <v>3212700</v>
      </c>
      <c r="AC35" s="10">
        <v>68.47</v>
      </c>
      <c r="AD35" s="2">
        <f t="shared" si="0"/>
        <v>1.5700000000000074</v>
      </c>
      <c r="AE35" s="138">
        <f t="shared" si="1"/>
        <v>-6.9615663524293936E-3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42704</v>
      </c>
      <c r="X36" s="10">
        <v>68.510000000000005</v>
      </c>
      <c r="Y36" s="10">
        <v>69.69</v>
      </c>
      <c r="Z36" s="10">
        <v>67.58</v>
      </c>
      <c r="AA36" s="10">
        <v>68.95</v>
      </c>
      <c r="AB36" s="95">
        <v>4114300</v>
      </c>
      <c r="AC36" s="10">
        <v>68.95</v>
      </c>
      <c r="AD36" s="2">
        <f t="shared" si="0"/>
        <v>2.1099999999999994</v>
      </c>
      <c r="AE36" s="138">
        <f t="shared" si="1"/>
        <v>-1.1044176706827225E-2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42703</v>
      </c>
      <c r="X37" s="10">
        <v>69.17</v>
      </c>
      <c r="Y37" s="10">
        <v>70.150000000000006</v>
      </c>
      <c r="Z37" s="10">
        <v>68.94</v>
      </c>
      <c r="AA37" s="10">
        <v>69.72</v>
      </c>
      <c r="AB37" s="95">
        <v>2450100</v>
      </c>
      <c r="AC37" s="10">
        <v>69.72</v>
      </c>
      <c r="AD37" s="2">
        <f t="shared" si="0"/>
        <v>1.210000000000008</v>
      </c>
      <c r="AE37" s="138">
        <f t="shared" si="1"/>
        <v>6.7870036101083109E-3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42702</v>
      </c>
      <c r="X38" s="10">
        <v>69.95</v>
      </c>
      <c r="Y38" s="10">
        <v>70.150000000000006</v>
      </c>
      <c r="Z38" s="10">
        <v>68.61</v>
      </c>
      <c r="AA38" s="10">
        <v>69.25</v>
      </c>
      <c r="AB38" s="95">
        <v>4966800</v>
      </c>
      <c r="AC38" s="10">
        <v>69.25</v>
      </c>
      <c r="AD38" s="2">
        <f t="shared" si="0"/>
        <v>1.5400000000000063</v>
      </c>
      <c r="AE38" s="138">
        <f t="shared" si="1"/>
        <v>-1.198459123983453E-2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42699</v>
      </c>
      <c r="X39" s="10">
        <v>69.81</v>
      </c>
      <c r="Y39" s="10">
        <v>70.180000000000007</v>
      </c>
      <c r="Z39" s="10">
        <v>69.55</v>
      </c>
      <c r="AA39" s="10">
        <v>70.09</v>
      </c>
      <c r="AB39" s="95">
        <v>1410400</v>
      </c>
      <c r="AC39" s="10">
        <v>70.09</v>
      </c>
      <c r="AD39" s="2">
        <f t="shared" si="0"/>
        <v>0.63000000000000966</v>
      </c>
      <c r="AE39" s="138">
        <f t="shared" si="1"/>
        <v>3.0051516886091534E-3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2" t="s">
        <v>78</v>
      </c>
      <c r="P40" s="632"/>
      <c r="W40" s="133">
        <v>42697</v>
      </c>
      <c r="X40" s="10">
        <v>69.349999999999994</v>
      </c>
      <c r="Y40" s="10">
        <v>69.98</v>
      </c>
      <c r="Z40" s="10">
        <v>68.83</v>
      </c>
      <c r="AA40" s="10">
        <v>69.88</v>
      </c>
      <c r="AB40" s="95">
        <v>3760700</v>
      </c>
      <c r="AC40" s="10">
        <v>69.88</v>
      </c>
      <c r="AD40" s="2">
        <f t="shared" si="0"/>
        <v>1.1500000000000057</v>
      </c>
      <c r="AE40" s="138">
        <f t="shared" si="1"/>
        <v>5.4676258992805149E-3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82.763999999999996</v>
      </c>
      <c r="Q41" s="2"/>
      <c r="W41" s="133">
        <v>42696</v>
      </c>
      <c r="X41" s="10">
        <v>69.08</v>
      </c>
      <c r="Y41" s="10">
        <v>70.150000000000006</v>
      </c>
      <c r="Z41" s="10">
        <v>69</v>
      </c>
      <c r="AA41" s="10">
        <v>69.5</v>
      </c>
      <c r="AB41" s="95">
        <v>4979200</v>
      </c>
      <c r="AC41" s="10">
        <v>69.5</v>
      </c>
      <c r="AD41" s="2">
        <f t="shared" si="0"/>
        <v>1.1500000000000057</v>
      </c>
      <c r="AE41" s="138">
        <f t="shared" si="1"/>
        <v>7.3923757066243212E-3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82.011600000000001</v>
      </c>
      <c r="Q42" s="2"/>
      <c r="T42" s="91" t="s">
        <v>113</v>
      </c>
      <c r="W42" s="133">
        <v>42695</v>
      </c>
      <c r="X42" s="10">
        <v>68.22</v>
      </c>
      <c r="Y42" s="10">
        <v>69.290000000000006</v>
      </c>
      <c r="Z42" s="10">
        <v>67.760000000000005</v>
      </c>
      <c r="AA42" s="10">
        <v>68.989999999999995</v>
      </c>
      <c r="AB42" s="95">
        <v>8990100</v>
      </c>
      <c r="AC42" s="10">
        <v>68.989999999999995</v>
      </c>
      <c r="AD42" s="2">
        <f t="shared" si="0"/>
        <v>1.5300000000000011</v>
      </c>
      <c r="AE42" s="138">
        <f t="shared" si="1"/>
        <v>1.0250402694391481E-2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81.259199999999993</v>
      </c>
      <c r="Q43" s="2"/>
      <c r="T43" s="128" t="s">
        <v>98</v>
      </c>
      <c r="U43" s="98">
        <v>74.02</v>
      </c>
      <c r="W43" s="133">
        <v>42692</v>
      </c>
      <c r="X43" s="10">
        <v>68.05</v>
      </c>
      <c r="Y43" s="10">
        <v>68.47</v>
      </c>
      <c r="Z43" s="10">
        <v>67.239999999999995</v>
      </c>
      <c r="AA43" s="10">
        <v>68.290000000000006</v>
      </c>
      <c r="AB43" s="95">
        <v>4957600</v>
      </c>
      <c r="AC43" s="10">
        <v>68.290000000000006</v>
      </c>
      <c r="AD43" s="2">
        <f t="shared" si="0"/>
        <v>1.230000000000004</v>
      </c>
      <c r="AE43" s="138">
        <f t="shared" si="1"/>
        <v>6.3365753020927507E-3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80.506799999999998</v>
      </c>
      <c r="Q44" s="2"/>
      <c r="T44" s="93" t="s">
        <v>99</v>
      </c>
      <c r="U44" s="88">
        <v>74.3</v>
      </c>
      <c r="W44" s="133">
        <v>42691</v>
      </c>
      <c r="X44" s="10">
        <v>65.62</v>
      </c>
      <c r="Y44" s="10">
        <v>68.02</v>
      </c>
      <c r="Z44" s="10">
        <v>65.510000000000005</v>
      </c>
      <c r="AA44" s="10">
        <v>67.86</v>
      </c>
      <c r="AB44" s="95">
        <v>4904200</v>
      </c>
      <c r="AC44" s="10">
        <v>67.86</v>
      </c>
      <c r="AD44" s="2">
        <f t="shared" si="0"/>
        <v>2.5099999999999909</v>
      </c>
      <c r="AE44" s="138">
        <f t="shared" si="1"/>
        <v>3.6030534351145116E-2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79.754400000000004</v>
      </c>
      <c r="Q45" s="2"/>
      <c r="T45" s="93" t="s">
        <v>100</v>
      </c>
      <c r="U45" s="88" t="s">
        <v>129</v>
      </c>
      <c r="W45" s="133">
        <v>42690</v>
      </c>
      <c r="X45" s="10">
        <v>65.75</v>
      </c>
      <c r="Y45" s="10">
        <v>66.66</v>
      </c>
      <c r="Z45" s="10">
        <v>64.900000000000006</v>
      </c>
      <c r="AA45" s="10">
        <v>65.5</v>
      </c>
      <c r="AB45" s="95">
        <v>4937100</v>
      </c>
      <c r="AC45" s="10">
        <v>65.5</v>
      </c>
      <c r="AD45" s="2">
        <f t="shared" si="0"/>
        <v>1.7599999999999909</v>
      </c>
      <c r="AE45" s="138">
        <f t="shared" si="1"/>
        <v>-8.4771419921284563E-3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79.001999999999995</v>
      </c>
      <c r="Q46" s="2"/>
      <c r="T46" s="93" t="s">
        <v>101</v>
      </c>
      <c r="U46" s="88" t="s">
        <v>129</v>
      </c>
      <c r="W46" s="133">
        <v>42689</v>
      </c>
      <c r="X46" s="10">
        <v>65.47</v>
      </c>
      <c r="Y46" s="10">
        <v>67.7</v>
      </c>
      <c r="Z46" s="10">
        <v>63.47</v>
      </c>
      <c r="AA46" s="10">
        <v>66.06</v>
      </c>
      <c r="AB46" s="95">
        <v>10421100</v>
      </c>
      <c r="AC46" s="10">
        <v>66.06</v>
      </c>
      <c r="AD46" s="2">
        <f t="shared" si="0"/>
        <v>4.230000000000004</v>
      </c>
      <c r="AE46" s="138">
        <f t="shared" si="1"/>
        <v>4.957102001906577E-2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78.249600000000001</v>
      </c>
      <c r="Q47" s="2"/>
      <c r="T47" s="93" t="s">
        <v>102</v>
      </c>
      <c r="U47" s="88">
        <v>85.28</v>
      </c>
      <c r="W47" s="133">
        <v>42688</v>
      </c>
      <c r="X47" s="10">
        <v>60.54</v>
      </c>
      <c r="Y47" s="10">
        <v>62.94</v>
      </c>
      <c r="Z47" s="10">
        <v>60.37</v>
      </c>
      <c r="AA47" s="10">
        <v>62.94</v>
      </c>
      <c r="AB47" s="95">
        <v>6634200</v>
      </c>
      <c r="AC47" s="10">
        <v>62.94</v>
      </c>
      <c r="AD47" s="2">
        <f t="shared" si="0"/>
        <v>2.5700000000000003</v>
      </c>
      <c r="AE47" s="138">
        <f t="shared" si="1"/>
        <v>4.4647302904564201E-2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77.497199999999992</v>
      </c>
      <c r="Q48" s="2"/>
      <c r="T48" s="93" t="s">
        <v>103</v>
      </c>
      <c r="U48" s="88">
        <v>0.62712000000000001</v>
      </c>
      <c r="W48" s="133">
        <v>42685</v>
      </c>
      <c r="X48" s="10">
        <v>59.85</v>
      </c>
      <c r="Y48" s="10">
        <v>60.58</v>
      </c>
      <c r="Z48" s="10">
        <v>58.78</v>
      </c>
      <c r="AA48" s="10">
        <v>60.25</v>
      </c>
      <c r="AB48" s="95">
        <v>5149600</v>
      </c>
      <c r="AC48" s="10">
        <v>60.25</v>
      </c>
      <c r="AD48" s="2">
        <f t="shared" si="0"/>
        <v>1.7999999999999972</v>
      </c>
      <c r="AE48" s="138">
        <f t="shared" si="1"/>
        <v>5.1718385051717775E-3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76.744799999999998</v>
      </c>
      <c r="Q49" s="2"/>
      <c r="T49" s="93" t="s">
        <v>122</v>
      </c>
      <c r="U49" s="88" t="s">
        <v>478</v>
      </c>
      <c r="W49" s="133">
        <v>42684</v>
      </c>
      <c r="X49" s="10">
        <v>60.43</v>
      </c>
      <c r="Y49" s="10">
        <v>61.6</v>
      </c>
      <c r="Z49" s="10">
        <v>59.79</v>
      </c>
      <c r="AA49" s="10">
        <v>59.94</v>
      </c>
      <c r="AB49" s="95">
        <v>5716100</v>
      </c>
      <c r="AC49" s="10">
        <v>59.94</v>
      </c>
      <c r="AD49" s="2">
        <f t="shared" si="0"/>
        <v>1.8100000000000023</v>
      </c>
      <c r="AE49" s="138">
        <f t="shared" si="1"/>
        <v>-3.1598203891568533E-3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75.992399999999989</v>
      </c>
      <c r="Q50" s="2"/>
      <c r="T50" s="93"/>
      <c r="U50" s="88"/>
      <c r="W50" s="133">
        <v>42683</v>
      </c>
      <c r="X50" s="10">
        <v>58.24</v>
      </c>
      <c r="Y50" s="10">
        <v>60.36</v>
      </c>
      <c r="Z50" s="10">
        <v>57.8</v>
      </c>
      <c r="AA50" s="10">
        <v>60.13</v>
      </c>
      <c r="AB50" s="95">
        <v>5340900</v>
      </c>
      <c r="AC50" s="10">
        <v>60.13</v>
      </c>
      <c r="AD50" s="2">
        <f t="shared" si="0"/>
        <v>2.5600000000000023</v>
      </c>
      <c r="AE50" s="138">
        <f t="shared" si="1"/>
        <v>1.3825661777103315E-2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75.239999999999995</v>
      </c>
      <c r="Q51" s="2"/>
      <c r="T51" s="93" t="s">
        <v>105</v>
      </c>
      <c r="U51" s="88" t="s">
        <v>609</v>
      </c>
      <c r="W51" s="133">
        <v>42682</v>
      </c>
      <c r="X51" s="10">
        <v>58.52</v>
      </c>
      <c r="Y51" s="10">
        <v>59.45</v>
      </c>
      <c r="Z51" s="10">
        <v>57.84</v>
      </c>
      <c r="AA51" s="10">
        <v>59.31</v>
      </c>
      <c r="AB51" s="95">
        <v>4077300</v>
      </c>
      <c r="AC51" s="10">
        <v>59.31</v>
      </c>
      <c r="AD51" s="2">
        <f t="shared" si="0"/>
        <v>1.6099999999999994</v>
      </c>
      <c r="AE51" s="138">
        <f t="shared" si="1"/>
        <v>1.3326499231163469E-2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74.4876</v>
      </c>
      <c r="Q52" s="2"/>
      <c r="T52" s="93" t="s">
        <v>106</v>
      </c>
      <c r="U52" s="88" t="s">
        <v>380</v>
      </c>
      <c r="W52" s="133">
        <v>42681</v>
      </c>
      <c r="X52" s="10">
        <v>57.96</v>
      </c>
      <c r="Y52" s="10">
        <v>58.77</v>
      </c>
      <c r="Z52" s="10">
        <v>57.55</v>
      </c>
      <c r="AA52" s="10">
        <v>58.53</v>
      </c>
      <c r="AB52" s="95">
        <v>4481900</v>
      </c>
      <c r="AC52" s="10">
        <v>58.53</v>
      </c>
      <c r="AD52" s="2">
        <f t="shared" si="0"/>
        <v>1.220000000000006</v>
      </c>
      <c r="AE52" s="138">
        <f t="shared" si="1"/>
        <v>2.271535907740696E-2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73.735199999999992</v>
      </c>
      <c r="Q53" s="2"/>
      <c r="T53" s="93" t="s">
        <v>107</v>
      </c>
      <c r="U53" s="90">
        <v>2966243</v>
      </c>
      <c r="W53" s="133">
        <v>42678</v>
      </c>
      <c r="X53" s="10">
        <v>56.01</v>
      </c>
      <c r="Y53" s="10">
        <v>57.69</v>
      </c>
      <c r="Z53" s="10">
        <v>55.75</v>
      </c>
      <c r="AA53" s="10">
        <v>57.23</v>
      </c>
      <c r="AB53" s="95">
        <v>5016500</v>
      </c>
      <c r="AC53" s="10">
        <v>57.23</v>
      </c>
      <c r="AD53" s="2">
        <f t="shared" si="0"/>
        <v>1.9399999999999977</v>
      </c>
      <c r="AE53" s="138">
        <f t="shared" si="1"/>
        <v>2.3060421880586324E-2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72.982799999999997</v>
      </c>
      <c r="T54" s="93" t="s">
        <v>110</v>
      </c>
      <c r="U54" s="90">
        <v>3935150</v>
      </c>
      <c r="W54" s="133">
        <v>42677</v>
      </c>
      <c r="X54" s="10">
        <v>56.66</v>
      </c>
      <c r="Y54" s="10">
        <v>57.24</v>
      </c>
      <c r="Z54" s="10">
        <v>55.79</v>
      </c>
      <c r="AA54" s="10">
        <v>55.94</v>
      </c>
      <c r="AB54" s="95">
        <v>3531800</v>
      </c>
      <c r="AC54" s="10">
        <v>55.94</v>
      </c>
      <c r="AD54" s="2">
        <f t="shared" si="0"/>
        <v>1.4500000000000028</v>
      </c>
      <c r="AE54" s="138">
        <f t="shared" si="1"/>
        <v>-3.5625222657642563E-3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72.230399999999989</v>
      </c>
      <c r="T55" s="93" t="s">
        <v>108</v>
      </c>
      <c r="U55" s="88" t="s">
        <v>610</v>
      </c>
      <c r="W55" s="133">
        <v>42676</v>
      </c>
      <c r="X55" s="10">
        <v>55.95</v>
      </c>
      <c r="Y55" s="10">
        <v>56.86</v>
      </c>
      <c r="Z55" s="10">
        <v>55.76</v>
      </c>
      <c r="AA55" s="10">
        <v>56.14</v>
      </c>
      <c r="AB55" s="95">
        <v>3949200</v>
      </c>
      <c r="AC55" s="10">
        <v>56.14</v>
      </c>
      <c r="AD55" s="2">
        <f t="shared" si="0"/>
        <v>1.1000000000000014</v>
      </c>
      <c r="AE55" s="138">
        <f t="shared" si="1"/>
        <v>2.4999999999999467E-3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71.477999999999994</v>
      </c>
      <c r="T56" s="93" t="s">
        <v>111</v>
      </c>
      <c r="U56" s="88">
        <v>10.98</v>
      </c>
      <c r="W56" s="133">
        <v>42675</v>
      </c>
      <c r="X56" s="10">
        <v>56.25</v>
      </c>
      <c r="Y56" s="10">
        <v>56.97</v>
      </c>
      <c r="Z56" s="10">
        <v>55.53</v>
      </c>
      <c r="AA56" s="10">
        <v>56</v>
      </c>
      <c r="AB56" s="95">
        <v>4708100</v>
      </c>
      <c r="AC56" s="10">
        <v>56</v>
      </c>
      <c r="AD56" s="2">
        <f t="shared" si="0"/>
        <v>1.4399999999999977</v>
      </c>
      <c r="AE56" s="138">
        <f t="shared" si="1"/>
        <v>-4.090343233149496E-3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70.725599999999986</v>
      </c>
      <c r="T57" s="93" t="s">
        <v>112</v>
      </c>
      <c r="U57" s="88">
        <v>6.85</v>
      </c>
      <c r="W57" s="133">
        <v>42674</v>
      </c>
      <c r="X57" s="10">
        <v>55.62</v>
      </c>
      <c r="Y57" s="10">
        <v>56.25</v>
      </c>
      <c r="Z57" s="10">
        <v>54.97</v>
      </c>
      <c r="AA57" s="10">
        <v>56.23</v>
      </c>
      <c r="AB57" s="95">
        <v>5256000</v>
      </c>
      <c r="AC57" s="10">
        <v>56.23</v>
      </c>
      <c r="AD57" s="2">
        <f t="shared" si="0"/>
        <v>1.2800000000000011</v>
      </c>
      <c r="AE57" s="138">
        <f t="shared" si="1"/>
        <v>2.0322990382870554E-2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69.973200000000006</v>
      </c>
      <c r="T58" s="93" t="s">
        <v>109</v>
      </c>
      <c r="U58" s="88" t="s">
        <v>123</v>
      </c>
      <c r="W58" s="133">
        <v>42671</v>
      </c>
      <c r="X58" s="10">
        <v>54.59</v>
      </c>
      <c r="Y58" s="10">
        <v>55.45</v>
      </c>
      <c r="Z58" s="10">
        <v>54.38</v>
      </c>
      <c r="AA58" s="10">
        <v>55.11</v>
      </c>
      <c r="AB58" s="95">
        <v>5065500</v>
      </c>
      <c r="AC58" s="10">
        <v>55.11</v>
      </c>
      <c r="AD58" s="2">
        <f t="shared" si="0"/>
        <v>1.0700000000000003</v>
      </c>
      <c r="AE58" s="138">
        <f t="shared" si="1"/>
        <v>1.2679162072767314E-2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69.220799999999997</v>
      </c>
      <c r="W59" s="133">
        <v>42670</v>
      </c>
      <c r="X59" s="10">
        <v>54.3</v>
      </c>
      <c r="Y59" s="10">
        <v>55.2</v>
      </c>
      <c r="Z59" s="10">
        <v>53.59</v>
      </c>
      <c r="AA59" s="10">
        <v>54.42</v>
      </c>
      <c r="AB59" s="95">
        <v>4877000</v>
      </c>
      <c r="AC59" s="10">
        <v>54.42</v>
      </c>
      <c r="AD59" s="2">
        <f t="shared" si="0"/>
        <v>1.6099999999999994</v>
      </c>
      <c r="AE59" s="138">
        <f t="shared" si="1"/>
        <v>8.1511670989256046E-3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68.468400000000003</v>
      </c>
      <c r="W60" s="133">
        <v>42669</v>
      </c>
      <c r="X60" s="10">
        <v>53.11</v>
      </c>
      <c r="Y60" s="10">
        <v>55.34</v>
      </c>
      <c r="Z60" s="10">
        <v>52.21</v>
      </c>
      <c r="AA60" s="10">
        <v>53.98</v>
      </c>
      <c r="AB60" s="95">
        <v>6082700</v>
      </c>
      <c r="AC60" s="10">
        <v>53.98</v>
      </c>
      <c r="AD60" s="2">
        <f t="shared" si="0"/>
        <v>3.1300000000000026</v>
      </c>
      <c r="AE60" s="138">
        <f t="shared" si="1"/>
        <v>-1.1898224418817605E-2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67.715999999999994</v>
      </c>
      <c r="W61" s="133">
        <v>42668</v>
      </c>
      <c r="X61" s="10">
        <v>54.93</v>
      </c>
      <c r="Y61" s="10">
        <v>55.89</v>
      </c>
      <c r="Z61" s="10">
        <v>54.54</v>
      </c>
      <c r="AA61" s="10">
        <v>54.63</v>
      </c>
      <c r="AB61" s="95">
        <v>3151000</v>
      </c>
      <c r="AC61" s="10">
        <v>54.63</v>
      </c>
      <c r="AD61" s="2">
        <f t="shared" si="0"/>
        <v>1.3500000000000014</v>
      </c>
      <c r="AE61" s="138">
        <f t="shared" si="1"/>
        <v>-7.4491279069767158E-3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55.91</v>
      </c>
      <c r="Y62" s="10">
        <v>56.25</v>
      </c>
      <c r="Z62" s="10">
        <v>54.95</v>
      </c>
      <c r="AA62" s="10">
        <v>55.04</v>
      </c>
      <c r="AB62" s="95">
        <v>2875400</v>
      </c>
      <c r="AC62" s="10">
        <v>55.04</v>
      </c>
      <c r="AD62" s="2">
        <f t="shared" si="0"/>
        <v>1.2999999999999972</v>
      </c>
      <c r="AE62" s="138">
        <f t="shared" si="1"/>
        <v>-1.0071942446043258E-2</v>
      </c>
    </row>
    <row r="63" spans="2:31" x14ac:dyDescent="0.25">
      <c r="W63" s="133">
        <v>42664</v>
      </c>
      <c r="X63" s="10">
        <v>56.21</v>
      </c>
      <c r="Y63" s="10">
        <v>56.58</v>
      </c>
      <c r="Z63" s="10">
        <v>55.17</v>
      </c>
      <c r="AA63" s="10">
        <v>55.6</v>
      </c>
      <c r="AB63" s="95">
        <v>3939800</v>
      </c>
      <c r="AC63" s="10">
        <v>55.6</v>
      </c>
      <c r="AD63" s="2">
        <f t="shared" si="0"/>
        <v>1.4099999999999966</v>
      </c>
      <c r="AE63" s="138">
        <f t="shared" si="1"/>
        <v>-1.7146897648930515E-2</v>
      </c>
    </row>
    <row r="64" spans="2:31" x14ac:dyDescent="0.25">
      <c r="W64" s="133">
        <v>42663</v>
      </c>
      <c r="X64" s="10">
        <v>55.29</v>
      </c>
      <c r="Y64" s="10">
        <v>56.81</v>
      </c>
      <c r="Z64" s="10">
        <v>55.11</v>
      </c>
      <c r="AA64" s="10">
        <v>56.57</v>
      </c>
      <c r="AB64" s="95">
        <v>9571500</v>
      </c>
      <c r="AC64" s="10">
        <v>56.57</v>
      </c>
      <c r="AD64" s="2">
        <f t="shared" si="0"/>
        <v>1.7000000000000028</v>
      </c>
      <c r="AE64" s="138">
        <f t="shared" si="1"/>
        <v>2.0382395382395391E-2</v>
      </c>
    </row>
    <row r="65" spans="1:31" x14ac:dyDescent="0.25">
      <c r="W65" s="133">
        <v>42662</v>
      </c>
      <c r="X65" s="10">
        <v>53.99</v>
      </c>
      <c r="Y65" s="10">
        <v>55.49</v>
      </c>
      <c r="Z65" s="10">
        <v>53.75</v>
      </c>
      <c r="AA65" s="10">
        <v>55.44</v>
      </c>
      <c r="AB65" s="95">
        <v>7538300</v>
      </c>
      <c r="AC65" s="10">
        <v>55.44</v>
      </c>
      <c r="AD65" s="2">
        <f t="shared" si="0"/>
        <v>1.740000000000002</v>
      </c>
      <c r="AE65" s="138">
        <f t="shared" si="1"/>
        <v>3.2786885245901676E-2</v>
      </c>
    </row>
    <row r="66" spans="1:31" x14ac:dyDescent="0.25">
      <c r="W66" s="133">
        <v>42661</v>
      </c>
      <c r="X66" s="10">
        <v>52.54</v>
      </c>
      <c r="Y66" s="10">
        <v>55.01</v>
      </c>
      <c r="Z66" s="10">
        <v>52.44</v>
      </c>
      <c r="AA66" s="10">
        <v>53.68</v>
      </c>
      <c r="AB66" s="95">
        <v>11297300</v>
      </c>
      <c r="AC66" s="10">
        <v>53.68</v>
      </c>
      <c r="AD66" s="2">
        <f t="shared" si="0"/>
        <v>2.5700000000000003</v>
      </c>
      <c r="AE66" s="138">
        <f t="shared" si="1"/>
        <v>1.2257212898359349E-2</v>
      </c>
    </row>
    <row r="67" spans="1:31" x14ac:dyDescent="0.25">
      <c r="W67" s="133">
        <v>42660</v>
      </c>
      <c r="X67" s="10">
        <v>53.45</v>
      </c>
      <c r="Y67" s="10">
        <v>54.53</v>
      </c>
      <c r="Z67" s="10">
        <v>52.93</v>
      </c>
      <c r="AA67" s="10">
        <v>53.03</v>
      </c>
      <c r="AB67" s="95">
        <v>6398200</v>
      </c>
      <c r="AC67" s="10">
        <v>53.03</v>
      </c>
      <c r="AD67" s="2">
        <f>Y67-Z67</f>
        <v>1.6000000000000014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204</v>
      </c>
      <c r="W2" s="133">
        <v>42755</v>
      </c>
      <c r="X2" s="10">
        <v>75.55</v>
      </c>
      <c r="Y2" s="10">
        <v>75.78</v>
      </c>
      <c r="Z2" s="10">
        <v>74.930000000000007</v>
      </c>
      <c r="AA2" s="10">
        <v>75.03</v>
      </c>
      <c r="AB2" s="95">
        <v>2389700</v>
      </c>
      <c r="AC2" s="10">
        <v>75.03</v>
      </c>
      <c r="AD2" s="2">
        <f>Y2-Z2</f>
        <v>0.84999999999999432</v>
      </c>
      <c r="AE2" s="138">
        <f>AC2/AC3-1</f>
        <v>-6.8828590337524087E-3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42754</v>
      </c>
      <c r="X3" s="10">
        <v>75.599999999999994</v>
      </c>
      <c r="Y3" s="10">
        <v>75.760000000000005</v>
      </c>
      <c r="Z3" s="10">
        <v>75.25</v>
      </c>
      <c r="AA3" s="10">
        <v>75.55</v>
      </c>
      <c r="AB3" s="95">
        <v>2240100</v>
      </c>
      <c r="AC3" s="10">
        <v>75.55</v>
      </c>
      <c r="AD3" s="2">
        <f t="shared" ref="AD3:AD66" si="0">Y3-Z3</f>
        <v>0.51000000000000512</v>
      </c>
      <c r="AE3" s="138">
        <f t="shared" ref="AE3:AE66" si="1">AC3/AC4-1</f>
        <v>-3.2981530343008103E-3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75.03</v>
      </c>
      <c r="R4" s="528">
        <v>-6.8999999999999999E-3</v>
      </c>
      <c r="T4" s="163"/>
      <c r="U4" s="1"/>
      <c r="W4" s="133">
        <v>42753</v>
      </c>
      <c r="X4" s="10">
        <v>75.650000000000006</v>
      </c>
      <c r="Y4" s="10">
        <v>75.849999999999994</v>
      </c>
      <c r="Z4" s="10">
        <v>75.03</v>
      </c>
      <c r="AA4" s="10">
        <v>75.8</v>
      </c>
      <c r="AB4" s="95">
        <v>1768600</v>
      </c>
      <c r="AC4" s="10">
        <v>75.8</v>
      </c>
      <c r="AD4" s="2">
        <f t="shared" si="0"/>
        <v>0.81999999999999318</v>
      </c>
      <c r="AE4" s="138">
        <f t="shared" si="1"/>
        <v>8.2468741686616553E-3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1875.75</v>
      </c>
      <c r="W5" s="133">
        <v>42752</v>
      </c>
      <c r="X5" s="10">
        <v>74.61</v>
      </c>
      <c r="Y5" s="10">
        <v>75.86</v>
      </c>
      <c r="Z5" s="10">
        <v>74.37</v>
      </c>
      <c r="AA5" s="10">
        <v>75.180000000000007</v>
      </c>
      <c r="AB5" s="95">
        <v>1523700</v>
      </c>
      <c r="AC5" s="10">
        <v>75.180000000000007</v>
      </c>
      <c r="AD5" s="2">
        <f t="shared" si="0"/>
        <v>1.4899999999999949</v>
      </c>
      <c r="AE5" s="138">
        <f t="shared" si="1"/>
        <v>2.4000000000001798E-3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42748</v>
      </c>
      <c r="X6" s="10">
        <v>74.48</v>
      </c>
      <c r="Y6" s="10">
        <v>75.14</v>
      </c>
      <c r="Z6" s="10">
        <v>74.260000000000005</v>
      </c>
      <c r="AA6" s="10">
        <v>75</v>
      </c>
      <c r="AB6" s="95">
        <v>1443700</v>
      </c>
      <c r="AC6" s="10">
        <v>75</v>
      </c>
      <c r="AD6" s="2">
        <f t="shared" si="0"/>
        <v>0.87999999999999545</v>
      </c>
      <c r="AE6" s="138">
        <f t="shared" si="1"/>
        <v>1.0917913465426698E-2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743.06999999999971</v>
      </c>
      <c r="R7" s="30">
        <v>42765</v>
      </c>
      <c r="W7" s="133">
        <v>42747</v>
      </c>
      <c r="X7" s="10">
        <v>73.400000000000006</v>
      </c>
      <c r="Y7" s="10">
        <v>74.27</v>
      </c>
      <c r="Z7" s="10">
        <v>73.290000000000006</v>
      </c>
      <c r="AA7" s="10">
        <v>74.19</v>
      </c>
      <c r="AB7" s="95">
        <v>1998600</v>
      </c>
      <c r="AC7" s="10">
        <v>74.19</v>
      </c>
      <c r="AD7" s="2">
        <f t="shared" si="0"/>
        <v>0.97999999999998977</v>
      </c>
      <c r="AE7" s="138">
        <f t="shared" si="1"/>
        <v>6.3754747693978153E-3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82.5</v>
      </c>
      <c r="W8" s="133">
        <v>42746</v>
      </c>
      <c r="X8" s="10">
        <v>75.150000000000006</v>
      </c>
      <c r="Y8" s="10">
        <v>75.63</v>
      </c>
      <c r="Z8" s="10">
        <v>72.849999999999994</v>
      </c>
      <c r="AA8" s="10">
        <v>73.72</v>
      </c>
      <c r="AB8" s="95">
        <v>3049400</v>
      </c>
      <c r="AC8" s="10">
        <v>73.72</v>
      </c>
      <c r="AD8" s="2">
        <f t="shared" si="0"/>
        <v>2.7800000000000011</v>
      </c>
      <c r="AE8" s="138">
        <f t="shared" si="1"/>
        <v>-1.9941504918904562E-2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4.6005855290673359E-2</v>
      </c>
      <c r="W9" s="133">
        <v>42745</v>
      </c>
      <c r="X9" s="10">
        <v>74.58</v>
      </c>
      <c r="Y9" s="10">
        <v>75.97</v>
      </c>
      <c r="Z9" s="10">
        <v>74.52</v>
      </c>
      <c r="AA9" s="10">
        <v>75.22</v>
      </c>
      <c r="AB9" s="95">
        <v>2420400</v>
      </c>
      <c r="AC9" s="10">
        <v>75.22</v>
      </c>
      <c r="AD9" s="2">
        <f t="shared" si="0"/>
        <v>1.4500000000000028</v>
      </c>
      <c r="AE9" s="138">
        <f t="shared" si="1"/>
        <v>6.153023006955527E-3</v>
      </c>
    </row>
    <row r="10" spans="1:31" x14ac:dyDescent="0.25">
      <c r="H10" s="72"/>
      <c r="O10" s="11" t="s">
        <v>214</v>
      </c>
      <c r="P10" s="34"/>
      <c r="Q10" s="2">
        <f>M67</f>
        <v>660.56999999999971</v>
      </c>
      <c r="W10" s="133">
        <v>42744</v>
      </c>
      <c r="X10" s="10">
        <v>75.03</v>
      </c>
      <c r="Y10" s="10">
        <v>75.599999999999994</v>
      </c>
      <c r="Z10" s="10">
        <v>74.75</v>
      </c>
      <c r="AA10" s="10">
        <v>74.760000000000005</v>
      </c>
      <c r="AB10" s="95">
        <v>1985600</v>
      </c>
      <c r="AC10" s="10">
        <v>74.760000000000005</v>
      </c>
      <c r="AD10" s="2">
        <f t="shared" si="0"/>
        <v>0.84999999999999432</v>
      </c>
      <c r="AE10" s="138">
        <f t="shared" si="1"/>
        <v>-7.5667064914375359E-3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42741</v>
      </c>
      <c r="X11" s="10">
        <v>74.62</v>
      </c>
      <c r="Y11" s="10">
        <v>75.41</v>
      </c>
      <c r="Z11" s="10">
        <v>74.17</v>
      </c>
      <c r="AA11" s="10">
        <v>75.33</v>
      </c>
      <c r="AB11" s="95">
        <v>2306900</v>
      </c>
      <c r="AC11" s="10">
        <v>75.33</v>
      </c>
      <c r="AD11" s="2">
        <f t="shared" si="0"/>
        <v>1.2399999999999949</v>
      </c>
      <c r="AE11" s="138">
        <f t="shared" si="1"/>
        <v>1.1140939597315436E-2</v>
      </c>
    </row>
    <row r="12" spans="1:31" x14ac:dyDescent="0.25">
      <c r="H12" s="72"/>
      <c r="W12" s="133">
        <v>42740</v>
      </c>
      <c r="X12" s="10">
        <v>75.33</v>
      </c>
      <c r="Y12" s="10">
        <v>75.59</v>
      </c>
      <c r="Z12" s="10">
        <v>74.31</v>
      </c>
      <c r="AA12" s="10">
        <v>74.5</v>
      </c>
      <c r="AB12" s="95">
        <v>1921000</v>
      </c>
      <c r="AC12" s="10">
        <v>74.5</v>
      </c>
      <c r="AD12" s="2">
        <f t="shared" si="0"/>
        <v>1.2800000000000011</v>
      </c>
      <c r="AE12" s="138">
        <f t="shared" si="1"/>
        <v>-1.4941160914980767E-2</v>
      </c>
    </row>
    <row r="13" spans="1:31" x14ac:dyDescent="0.25">
      <c r="H13" s="72"/>
      <c r="W13" s="133">
        <v>42739</v>
      </c>
      <c r="X13" s="10">
        <v>74.5</v>
      </c>
      <c r="Y13" s="10">
        <v>75.69</v>
      </c>
      <c r="Z13" s="10">
        <v>74.5</v>
      </c>
      <c r="AA13" s="10">
        <v>75.63</v>
      </c>
      <c r="AB13" s="95">
        <v>2461500</v>
      </c>
      <c r="AC13" s="10">
        <v>75.63</v>
      </c>
      <c r="AD13" s="2">
        <f t="shared" si="0"/>
        <v>1.1899999999999977</v>
      </c>
      <c r="AE13" s="138">
        <f t="shared" si="1"/>
        <v>1.5440386680988016E-2</v>
      </c>
    </row>
    <row r="14" spans="1:31" x14ac:dyDescent="0.25">
      <c r="H14" s="72"/>
      <c r="W14" s="133">
        <v>42738</v>
      </c>
      <c r="X14" s="10">
        <v>71.989999999999995</v>
      </c>
      <c r="Y14" s="10">
        <v>74.75</v>
      </c>
      <c r="Z14" s="10">
        <v>71.900000000000006</v>
      </c>
      <c r="AA14" s="10">
        <v>74.48</v>
      </c>
      <c r="AB14" s="95">
        <v>4459400</v>
      </c>
      <c r="AC14" s="10">
        <v>74.48</v>
      </c>
      <c r="AD14" s="2">
        <f t="shared" si="0"/>
        <v>2.8499999999999943</v>
      </c>
      <c r="AE14" s="138">
        <f t="shared" si="1"/>
        <v>3.4875642628873216E-2</v>
      </c>
    </row>
    <row r="15" spans="1:31" x14ac:dyDescent="0.25">
      <c r="H15" s="72"/>
      <c r="W15" s="133">
        <v>42734</v>
      </c>
      <c r="X15" s="10">
        <v>72.33</v>
      </c>
      <c r="Y15" s="10">
        <v>72.61</v>
      </c>
      <c r="Z15" s="10">
        <v>71.72</v>
      </c>
      <c r="AA15" s="10">
        <v>71.97</v>
      </c>
      <c r="AB15" s="95">
        <v>1613100</v>
      </c>
      <c r="AC15" s="10">
        <v>71.97</v>
      </c>
      <c r="AD15" s="2">
        <f t="shared" si="0"/>
        <v>0.89000000000000057</v>
      </c>
      <c r="AE15" s="138">
        <f t="shared" si="1"/>
        <v>-5.2522460262611759E-3</v>
      </c>
    </row>
    <row r="16" spans="1:31" x14ac:dyDescent="0.25">
      <c r="H16" s="72"/>
      <c r="W16" s="133">
        <v>42733</v>
      </c>
      <c r="X16" s="10">
        <v>72.31</v>
      </c>
      <c r="Y16" s="10">
        <v>73.150000000000006</v>
      </c>
      <c r="Z16" s="10">
        <v>72.23</v>
      </c>
      <c r="AA16" s="10">
        <v>72.349999999999994</v>
      </c>
      <c r="AB16" s="95">
        <v>1728400</v>
      </c>
      <c r="AC16" s="10">
        <v>72.349999999999994</v>
      </c>
      <c r="AD16" s="2">
        <f t="shared" si="0"/>
        <v>0.92000000000000171</v>
      </c>
      <c r="AE16" s="138" t="e">
        <f t="shared" si="1"/>
        <v>#DIV/0!</v>
      </c>
    </row>
    <row r="17" spans="1:31" x14ac:dyDescent="0.25">
      <c r="H17" s="72"/>
      <c r="W17" s="133">
        <v>42733</v>
      </c>
      <c r="X17" s="10" t="s">
        <v>237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42732</v>
      </c>
      <c r="X18" s="10">
        <v>73.13</v>
      </c>
      <c r="Y18" s="10">
        <v>73.69</v>
      </c>
      <c r="Z18" s="10">
        <v>72.52</v>
      </c>
      <c r="AA18" s="10">
        <v>72.55</v>
      </c>
      <c r="AB18" s="95">
        <v>1514800</v>
      </c>
      <c r="AC18" s="10">
        <v>72.099999999999994</v>
      </c>
      <c r="AD18" s="2">
        <f t="shared" si="0"/>
        <v>1.1700000000000017</v>
      </c>
      <c r="AE18" s="138">
        <f t="shared" si="1"/>
        <v>-7.1605618286975092E-3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72.92</v>
      </c>
      <c r="Y19" s="10">
        <v>73.650000000000006</v>
      </c>
      <c r="Z19" s="10">
        <v>72.89</v>
      </c>
      <c r="AA19" s="10">
        <v>73.069999999999993</v>
      </c>
      <c r="AB19" s="95">
        <v>1500900</v>
      </c>
      <c r="AC19" s="10">
        <v>72.62</v>
      </c>
      <c r="AD19" s="2">
        <f t="shared" si="0"/>
        <v>0.76000000000000512</v>
      </c>
      <c r="AE19" s="138">
        <f t="shared" si="1"/>
        <v>2.6232224216484745E-3</v>
      </c>
    </row>
    <row r="20" spans="1:31" x14ac:dyDescent="0.25">
      <c r="W20" s="133">
        <v>42727</v>
      </c>
      <c r="X20" s="10">
        <v>72.36</v>
      </c>
      <c r="Y20" s="10">
        <v>73.400000000000006</v>
      </c>
      <c r="Z20" s="10">
        <v>72.099999999999994</v>
      </c>
      <c r="AA20" s="10">
        <v>72.88</v>
      </c>
      <c r="AB20" s="95">
        <v>995700</v>
      </c>
      <c r="AC20" s="10">
        <v>72.430000000000007</v>
      </c>
      <c r="AD20" s="2">
        <f t="shared" si="0"/>
        <v>1.3000000000000114</v>
      </c>
      <c r="AE20" s="138">
        <f t="shared" si="1"/>
        <v>1.0745185598660445E-2</v>
      </c>
    </row>
    <row r="21" spans="1:31" x14ac:dyDescent="0.25">
      <c r="W21" s="133">
        <v>42726</v>
      </c>
      <c r="X21" s="10">
        <v>72.66</v>
      </c>
      <c r="Y21" s="10">
        <v>72.989999999999995</v>
      </c>
      <c r="Z21" s="10">
        <v>71.87</v>
      </c>
      <c r="AA21" s="10">
        <v>72.11</v>
      </c>
      <c r="AB21" s="95">
        <v>1612600</v>
      </c>
      <c r="AC21" s="10">
        <v>71.66</v>
      </c>
      <c r="AD21" s="2">
        <f t="shared" si="0"/>
        <v>1.1199999999999903</v>
      </c>
      <c r="AE21" s="138">
        <f t="shared" si="1"/>
        <v>-7.0666481917694979E-3</v>
      </c>
    </row>
    <row r="22" spans="1:31" x14ac:dyDescent="0.25">
      <c r="W22" s="133">
        <v>42725</v>
      </c>
      <c r="X22" s="10">
        <v>72.489999999999995</v>
      </c>
      <c r="Y22" s="10">
        <v>72.98</v>
      </c>
      <c r="Z22" s="10">
        <v>71.819999999999993</v>
      </c>
      <c r="AA22" s="10">
        <v>72.62</v>
      </c>
      <c r="AB22" s="95">
        <v>3206800</v>
      </c>
      <c r="AC22" s="10">
        <v>72.17</v>
      </c>
      <c r="AD22" s="2">
        <f t="shared" si="0"/>
        <v>1.1600000000000108</v>
      </c>
      <c r="AE22" s="138">
        <f t="shared" si="1"/>
        <v>-1.001371742112489E-2</v>
      </c>
    </row>
    <row r="23" spans="1:31" x14ac:dyDescent="0.25">
      <c r="W23" s="133">
        <v>42724</v>
      </c>
      <c r="X23" s="10">
        <v>73.87</v>
      </c>
      <c r="Y23" s="10">
        <v>74.28</v>
      </c>
      <c r="Z23" s="10">
        <v>72.97</v>
      </c>
      <c r="AA23" s="10">
        <v>73.349999999999994</v>
      </c>
      <c r="AB23" s="95">
        <v>2397300</v>
      </c>
      <c r="AC23" s="10">
        <v>72.900000000000006</v>
      </c>
      <c r="AD23" s="2">
        <f t="shared" si="0"/>
        <v>1.3100000000000023</v>
      </c>
      <c r="AE23" s="138">
        <f t="shared" si="1"/>
        <v>-4.642271982523094E-3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42723</v>
      </c>
      <c r="X24" s="10">
        <v>73.77</v>
      </c>
      <c r="Y24" s="10">
        <v>74.319999999999993</v>
      </c>
      <c r="Z24" s="10">
        <v>73.11</v>
      </c>
      <c r="AA24" s="10">
        <v>73.7</v>
      </c>
      <c r="AB24" s="95">
        <v>2936500</v>
      </c>
      <c r="AC24" s="10">
        <v>73.239999999999995</v>
      </c>
      <c r="AD24" s="2">
        <f t="shared" si="0"/>
        <v>1.2099999999999937</v>
      </c>
      <c r="AE24" s="138">
        <f t="shared" si="1"/>
        <v>-8.1855388813101282E-4</v>
      </c>
    </row>
    <row r="25" spans="1:31" x14ac:dyDescent="0.25">
      <c r="A25" t="s">
        <v>457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42720</v>
      </c>
      <c r="X25" s="10">
        <v>73.290000000000006</v>
      </c>
      <c r="Y25" s="10">
        <v>73.87</v>
      </c>
      <c r="Z25" s="10">
        <v>72.95</v>
      </c>
      <c r="AA25" s="10">
        <v>73.760000000000005</v>
      </c>
      <c r="AB25" s="95">
        <v>3726900</v>
      </c>
      <c r="AC25" s="10">
        <v>73.3</v>
      </c>
      <c r="AD25" s="2">
        <f t="shared" si="0"/>
        <v>0.92000000000000171</v>
      </c>
      <c r="AE25" s="138">
        <f t="shared" si="1"/>
        <v>1.0337698139214258E-2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42719</v>
      </c>
      <c r="X26" s="10">
        <v>72.5</v>
      </c>
      <c r="Y26" s="10">
        <v>73.209999999999994</v>
      </c>
      <c r="Z26" s="10">
        <v>71.97</v>
      </c>
      <c r="AA26" s="10">
        <v>73</v>
      </c>
      <c r="AB26" s="95">
        <v>3210000</v>
      </c>
      <c r="AC26" s="10">
        <v>72.55</v>
      </c>
      <c r="AD26" s="2">
        <f t="shared" si="0"/>
        <v>1.2399999999999949</v>
      </c>
      <c r="AE26" s="138">
        <f t="shared" si="1"/>
        <v>7.3590669258538632E-3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73.739999999999995</v>
      </c>
      <c r="Y27" s="10">
        <v>73.930000000000007</v>
      </c>
      <c r="Z27" s="10">
        <v>72.13</v>
      </c>
      <c r="AA27" s="10">
        <v>72.47</v>
      </c>
      <c r="AB27" s="95">
        <v>2523700</v>
      </c>
      <c r="AC27" s="10">
        <v>72.02</v>
      </c>
      <c r="AD27" s="2">
        <f t="shared" si="0"/>
        <v>1.8000000000000114</v>
      </c>
      <c r="AE27" s="138">
        <f t="shared" si="1"/>
        <v>-1.7328421339882771E-2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73.61</v>
      </c>
      <c r="Y28" s="10">
        <v>74.09</v>
      </c>
      <c r="Z28" s="10">
        <v>73.25</v>
      </c>
      <c r="AA28" s="10">
        <v>73.75</v>
      </c>
      <c r="AB28" s="95">
        <v>2548900</v>
      </c>
      <c r="AC28" s="10">
        <v>73.290000000000006</v>
      </c>
      <c r="AD28" s="2">
        <f t="shared" si="0"/>
        <v>0.84000000000000341</v>
      </c>
      <c r="AE28" s="138">
        <f t="shared" si="1"/>
        <v>3.5601807476379754E-3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72.900000000000006</v>
      </c>
      <c r="Y29" s="10">
        <v>73.7</v>
      </c>
      <c r="Z29" s="10">
        <v>72.62</v>
      </c>
      <c r="AA29" s="10">
        <v>73.48</v>
      </c>
      <c r="AB29" s="95">
        <v>2447600</v>
      </c>
      <c r="AC29" s="10">
        <v>73.03</v>
      </c>
      <c r="AD29" s="2">
        <f t="shared" si="0"/>
        <v>1.0799999999999983</v>
      </c>
      <c r="AE29" s="138">
        <f t="shared" si="1"/>
        <v>6.0614409698305227E-3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71.13</v>
      </c>
      <c r="Y30" s="10">
        <v>73.290000000000006</v>
      </c>
      <c r="Z30" s="10">
        <v>71.099999999999994</v>
      </c>
      <c r="AA30" s="10">
        <v>73.040000000000006</v>
      </c>
      <c r="AB30" s="95">
        <v>3048200</v>
      </c>
      <c r="AC30" s="10">
        <v>72.59</v>
      </c>
      <c r="AD30" s="2">
        <f t="shared" si="0"/>
        <v>2.1900000000000119</v>
      </c>
      <c r="AE30" s="138">
        <f t="shared" si="1"/>
        <v>2.7168529786330886E-2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70.569999999999993</v>
      </c>
      <c r="Y31" s="10">
        <v>71.37</v>
      </c>
      <c r="Z31" s="10">
        <v>70.06</v>
      </c>
      <c r="AA31" s="10">
        <v>71.11</v>
      </c>
      <c r="AB31" s="95">
        <v>2362300</v>
      </c>
      <c r="AC31" s="10">
        <v>70.67</v>
      </c>
      <c r="AD31" s="2">
        <f t="shared" si="0"/>
        <v>1.3100000000000023</v>
      </c>
      <c r="AE31" s="138">
        <f t="shared" si="1"/>
        <v>8.70682272337997E-3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70.2</v>
      </c>
      <c r="Y32" s="10">
        <v>70.63</v>
      </c>
      <c r="Z32" s="10">
        <v>68.599999999999994</v>
      </c>
      <c r="AA32" s="10">
        <v>70.5</v>
      </c>
      <c r="AB32" s="95">
        <v>5534500</v>
      </c>
      <c r="AC32" s="10">
        <v>70.06</v>
      </c>
      <c r="AD32" s="2">
        <f t="shared" si="0"/>
        <v>2.0300000000000011</v>
      </c>
      <c r="AE32" s="138">
        <f t="shared" si="1"/>
        <v>-1.2961397576782163E-2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42710</v>
      </c>
      <c r="X33" s="10">
        <v>72.010000000000005</v>
      </c>
      <c r="Y33" s="10">
        <v>72.16</v>
      </c>
      <c r="Z33" s="10">
        <v>70.72</v>
      </c>
      <c r="AA33" s="10">
        <v>71.42</v>
      </c>
      <c r="AB33" s="95">
        <v>2726200</v>
      </c>
      <c r="AC33" s="10">
        <v>70.98</v>
      </c>
      <c r="AD33" s="2">
        <f t="shared" si="0"/>
        <v>1.4399999999999977</v>
      </c>
      <c r="AE33" s="138">
        <f t="shared" si="1"/>
        <v>-9.351011863224068E-3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70.959999999999994</v>
      </c>
      <c r="Y34" s="10">
        <v>72.150000000000006</v>
      </c>
      <c r="Z34" s="10">
        <v>70.739999999999995</v>
      </c>
      <c r="AA34" s="10">
        <v>72.099999999999994</v>
      </c>
      <c r="AB34" s="95">
        <v>3302600</v>
      </c>
      <c r="AC34" s="10">
        <v>71.650000000000006</v>
      </c>
      <c r="AD34" s="2">
        <f t="shared" si="0"/>
        <v>1.4100000000000108</v>
      </c>
      <c r="AE34" s="138">
        <f t="shared" si="1"/>
        <v>1.7900269924705281E-2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71.19</v>
      </c>
      <c r="Y35" s="10">
        <v>71.680000000000007</v>
      </c>
      <c r="Z35" s="10">
        <v>70.739999999999995</v>
      </c>
      <c r="AA35" s="10">
        <v>70.83</v>
      </c>
      <c r="AB35" s="95">
        <v>2362700</v>
      </c>
      <c r="AC35" s="10">
        <v>70.39</v>
      </c>
      <c r="AD35" s="2">
        <f t="shared" si="0"/>
        <v>0.94000000000001194</v>
      </c>
      <c r="AE35" s="138">
        <f t="shared" si="1"/>
        <v>-1.4186409419775226E-3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70.94</v>
      </c>
      <c r="Y36" s="10">
        <v>71.89</v>
      </c>
      <c r="Z36" s="10">
        <v>70.66</v>
      </c>
      <c r="AA36" s="10">
        <v>70.930000000000007</v>
      </c>
      <c r="AB36" s="95">
        <v>3332200</v>
      </c>
      <c r="AC36" s="10">
        <v>70.489999999999995</v>
      </c>
      <c r="AD36" s="2">
        <f t="shared" si="0"/>
        <v>1.230000000000004</v>
      </c>
      <c r="AE36" s="138">
        <f t="shared" si="1"/>
        <v>-1.1336261867649355E-3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71.02</v>
      </c>
      <c r="Y37" s="10">
        <v>71.569999999999993</v>
      </c>
      <c r="Z37" s="10">
        <v>70.77</v>
      </c>
      <c r="AA37" s="10">
        <v>71.010000000000005</v>
      </c>
      <c r="AB37" s="95">
        <v>4885600</v>
      </c>
      <c r="AC37" s="10">
        <v>70.569999999999993</v>
      </c>
      <c r="AD37" s="2">
        <f t="shared" si="0"/>
        <v>0.79999999999999716</v>
      </c>
      <c r="AE37" s="138">
        <f t="shared" si="1"/>
        <v>2.8348688873136574E-4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71.510000000000005</v>
      </c>
      <c r="Y38" s="10">
        <v>71.78</v>
      </c>
      <c r="Z38" s="10">
        <v>70.44</v>
      </c>
      <c r="AA38" s="10">
        <v>70.989999999999995</v>
      </c>
      <c r="AB38" s="95">
        <v>4099200</v>
      </c>
      <c r="AC38" s="10">
        <v>70.55</v>
      </c>
      <c r="AD38" s="2">
        <f t="shared" si="0"/>
        <v>1.3400000000000034</v>
      </c>
      <c r="AE38" s="138">
        <f t="shared" si="1"/>
        <v>-8.1540840714184881E-3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71.33</v>
      </c>
      <c r="Y39" s="10">
        <v>71.95</v>
      </c>
      <c r="Z39" s="10">
        <v>70.900000000000006</v>
      </c>
      <c r="AA39" s="10">
        <v>71.569999999999993</v>
      </c>
      <c r="AB39" s="95">
        <v>3038700</v>
      </c>
      <c r="AC39" s="10">
        <v>71.13</v>
      </c>
      <c r="AD39" s="2">
        <f t="shared" si="0"/>
        <v>1.0499999999999972</v>
      </c>
      <c r="AE39" s="138">
        <f t="shared" si="1"/>
        <v>6.5091269279751174E-3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70.959999999999994</v>
      </c>
      <c r="Y40" s="10">
        <v>71.84</v>
      </c>
      <c r="Z40" s="10">
        <v>70.37</v>
      </c>
      <c r="AA40" s="10">
        <v>71.11</v>
      </c>
      <c r="AB40" s="95">
        <v>1035100</v>
      </c>
      <c r="AC40" s="10">
        <v>70.67</v>
      </c>
      <c r="AD40" s="2">
        <f t="shared" si="0"/>
        <v>1.4699999999999989</v>
      </c>
      <c r="AE40" s="138">
        <f t="shared" si="1"/>
        <v>7.9874482955355486E-3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82.533000000000001</v>
      </c>
      <c r="Q41" s="2"/>
      <c r="W41" s="133">
        <v>42697</v>
      </c>
      <c r="X41" s="10">
        <v>69.790000000000006</v>
      </c>
      <c r="Y41" s="10">
        <v>70.58</v>
      </c>
      <c r="Z41" s="10">
        <v>69.64</v>
      </c>
      <c r="AA41" s="10">
        <v>70.55</v>
      </c>
      <c r="AB41" s="95">
        <v>1806400</v>
      </c>
      <c r="AC41" s="10">
        <v>70.11</v>
      </c>
      <c r="AD41" s="2">
        <f t="shared" si="0"/>
        <v>0.93999999999999773</v>
      </c>
      <c r="AE41" s="138">
        <f t="shared" si="1"/>
        <v>5.8823529411764497E-3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81.782700000000006</v>
      </c>
      <c r="Q42" s="2"/>
      <c r="T42" s="91" t="s">
        <v>113</v>
      </c>
      <c r="W42" s="133">
        <v>42696</v>
      </c>
      <c r="X42" s="10">
        <v>70.16</v>
      </c>
      <c r="Y42" s="10">
        <v>70.41</v>
      </c>
      <c r="Z42" s="10">
        <v>69.349999999999994</v>
      </c>
      <c r="AA42" s="10">
        <v>70.13</v>
      </c>
      <c r="AB42" s="95">
        <v>2747600</v>
      </c>
      <c r="AC42" s="10">
        <v>69.7</v>
      </c>
      <c r="AD42" s="2">
        <f t="shared" si="0"/>
        <v>1.0600000000000023</v>
      </c>
      <c r="AE42" s="138">
        <f t="shared" si="1"/>
        <v>-1.7187052420508664E-3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81.03240000000001</v>
      </c>
      <c r="Q43" s="2"/>
      <c r="T43" s="128" t="s">
        <v>98</v>
      </c>
      <c r="U43" s="98">
        <v>75.55</v>
      </c>
      <c r="W43" s="133">
        <v>42695</v>
      </c>
      <c r="X43" s="10">
        <v>70.849999999999994</v>
      </c>
      <c r="Y43" s="10">
        <v>71.17</v>
      </c>
      <c r="Z43" s="10">
        <v>69.95</v>
      </c>
      <c r="AA43" s="10">
        <v>70.25</v>
      </c>
      <c r="AB43" s="95">
        <v>3712800</v>
      </c>
      <c r="AC43" s="10">
        <v>69.819999999999993</v>
      </c>
      <c r="AD43" s="2">
        <f t="shared" si="0"/>
        <v>1.2199999999999989</v>
      </c>
      <c r="AE43" s="138">
        <f t="shared" si="1"/>
        <v>-7.2515285084602255E-3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80.2821</v>
      </c>
      <c r="Q44" s="2"/>
      <c r="T44" s="93" t="s">
        <v>99</v>
      </c>
      <c r="U44" s="88">
        <v>75.55</v>
      </c>
      <c r="W44" s="133">
        <v>42692</v>
      </c>
      <c r="X44" s="10">
        <v>71.53</v>
      </c>
      <c r="Y44" s="10">
        <v>71.59</v>
      </c>
      <c r="Z44" s="10">
        <v>70.650000000000006</v>
      </c>
      <c r="AA44" s="10">
        <v>70.77</v>
      </c>
      <c r="AB44" s="95">
        <v>2653000</v>
      </c>
      <c r="AC44" s="10">
        <v>70.33</v>
      </c>
      <c r="AD44" s="2">
        <f t="shared" si="0"/>
        <v>0.93999999999999773</v>
      </c>
      <c r="AE44" s="138">
        <f t="shared" si="1"/>
        <v>-1.2219101123595588E-2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79.531800000000004</v>
      </c>
      <c r="Q45" s="2"/>
      <c r="T45" s="93" t="s">
        <v>100</v>
      </c>
      <c r="U45" s="88" t="s">
        <v>129</v>
      </c>
      <c r="W45" s="133">
        <v>42691</v>
      </c>
      <c r="X45" s="10">
        <v>71.19</v>
      </c>
      <c r="Y45" s="10">
        <v>72.09</v>
      </c>
      <c r="Z45" s="10">
        <v>70.989999999999995</v>
      </c>
      <c r="AA45" s="10">
        <v>71.64</v>
      </c>
      <c r="AB45" s="95">
        <v>2355800</v>
      </c>
      <c r="AC45" s="10">
        <v>71.2</v>
      </c>
      <c r="AD45" s="2">
        <f t="shared" si="0"/>
        <v>1.1000000000000085</v>
      </c>
      <c r="AE45" s="138">
        <f t="shared" si="1"/>
        <v>1.1507316380167776E-2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78.781500000000008</v>
      </c>
      <c r="Q46" s="2"/>
      <c r="T46" s="93" t="s">
        <v>101</v>
      </c>
      <c r="U46" s="88" t="s">
        <v>129</v>
      </c>
      <c r="W46" s="133">
        <v>42690</v>
      </c>
      <c r="X46" s="10">
        <v>71.13</v>
      </c>
      <c r="Y46" s="10">
        <v>71.959999999999994</v>
      </c>
      <c r="Z46" s="10">
        <v>70.67</v>
      </c>
      <c r="AA46" s="10">
        <v>70.83</v>
      </c>
      <c r="AB46" s="95">
        <v>2491300</v>
      </c>
      <c r="AC46" s="10">
        <v>70.39</v>
      </c>
      <c r="AD46" s="2">
        <f t="shared" si="0"/>
        <v>1.289999999999992</v>
      </c>
      <c r="AE46" s="138">
        <f t="shared" si="1"/>
        <v>-7.8928823114869928E-3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78.031199999999998</v>
      </c>
      <c r="Q47" s="2"/>
      <c r="T47" s="93" t="s">
        <v>102</v>
      </c>
      <c r="U47" s="88">
        <v>80.33</v>
      </c>
      <c r="W47" s="133">
        <v>42689</v>
      </c>
      <c r="X47" s="10">
        <v>72.53</v>
      </c>
      <c r="Y47" s="10">
        <v>72.819999999999993</v>
      </c>
      <c r="Z47" s="10">
        <v>71.2</v>
      </c>
      <c r="AA47" s="10">
        <v>71.39</v>
      </c>
      <c r="AB47" s="95">
        <v>4890400</v>
      </c>
      <c r="AC47" s="10">
        <v>70.95</v>
      </c>
      <c r="AD47" s="2">
        <f t="shared" si="0"/>
        <v>1.6199999999999903</v>
      </c>
      <c r="AE47" s="138">
        <f t="shared" si="1"/>
        <v>-1.3212795549374157E-2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77.280900000000003</v>
      </c>
      <c r="Q48" s="2"/>
      <c r="T48" s="93" t="s">
        <v>103</v>
      </c>
      <c r="U48" s="88">
        <v>0.77718399999999999</v>
      </c>
      <c r="W48" s="133">
        <v>42688</v>
      </c>
      <c r="X48" s="10">
        <v>71.45</v>
      </c>
      <c r="Y48" s="10">
        <v>72.81</v>
      </c>
      <c r="Z48" s="10">
        <v>71.16</v>
      </c>
      <c r="AA48" s="10">
        <v>72.349999999999994</v>
      </c>
      <c r="AB48" s="95">
        <v>3144400</v>
      </c>
      <c r="AC48" s="10">
        <v>71.900000000000006</v>
      </c>
      <c r="AD48" s="2">
        <f t="shared" si="0"/>
        <v>1.6500000000000057</v>
      </c>
      <c r="AE48" s="138">
        <f t="shared" si="1"/>
        <v>1.3675454673621967E-2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76.530600000000007</v>
      </c>
      <c r="Q49" s="2"/>
      <c r="T49" s="93" t="s">
        <v>104</v>
      </c>
      <c r="U49" s="88" t="s">
        <v>414</v>
      </c>
      <c r="W49" s="133">
        <v>42685</v>
      </c>
      <c r="X49" s="10">
        <v>71.42</v>
      </c>
      <c r="Y49" s="10">
        <v>71.86</v>
      </c>
      <c r="Z49" s="10">
        <v>70.39</v>
      </c>
      <c r="AA49" s="10">
        <v>71.37</v>
      </c>
      <c r="AB49" s="95">
        <v>3162400</v>
      </c>
      <c r="AC49" s="10">
        <v>70.930000000000007</v>
      </c>
      <c r="AD49" s="2">
        <f t="shared" si="0"/>
        <v>1.4699999999999989</v>
      </c>
      <c r="AE49" s="138">
        <f t="shared" si="1"/>
        <v>-4.9102132435464574E-3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75.780299999999997</v>
      </c>
      <c r="Q50" s="2"/>
      <c r="T50" s="93"/>
      <c r="U50" s="88"/>
      <c r="W50" s="133">
        <v>42684</v>
      </c>
      <c r="X50" s="10">
        <v>69.760000000000005</v>
      </c>
      <c r="Y50" s="10">
        <v>71.97</v>
      </c>
      <c r="Z50" s="10">
        <v>69.760000000000005</v>
      </c>
      <c r="AA50" s="10">
        <v>71.72</v>
      </c>
      <c r="AB50" s="95">
        <v>5995300</v>
      </c>
      <c r="AC50" s="10">
        <v>71.28</v>
      </c>
      <c r="AD50" s="2">
        <f t="shared" si="0"/>
        <v>2.2099999999999937</v>
      </c>
      <c r="AE50" s="138">
        <f t="shared" si="1"/>
        <v>3.5745422842197172E-2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75.03</v>
      </c>
      <c r="Q51" s="2"/>
      <c r="T51" s="93" t="s">
        <v>105</v>
      </c>
      <c r="U51" s="88" t="s">
        <v>574</v>
      </c>
      <c r="W51" s="133">
        <v>42683</v>
      </c>
      <c r="X51" s="10">
        <v>68.53</v>
      </c>
      <c r="Y51" s="10">
        <v>71.72</v>
      </c>
      <c r="Z51" s="10">
        <v>65.72</v>
      </c>
      <c r="AA51" s="10">
        <v>69.25</v>
      </c>
      <c r="AB51" s="95">
        <v>6758500</v>
      </c>
      <c r="AC51" s="10">
        <v>68.819999999999993</v>
      </c>
      <c r="AD51" s="2">
        <f t="shared" si="0"/>
        <v>6</v>
      </c>
      <c r="AE51" s="138">
        <f t="shared" si="1"/>
        <v>5.9584295612009175E-2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74.279700000000005</v>
      </c>
      <c r="Q52" s="2"/>
      <c r="T52" s="93" t="s">
        <v>106</v>
      </c>
      <c r="U52" s="88" t="s">
        <v>404</v>
      </c>
      <c r="W52" s="133">
        <v>42682</v>
      </c>
      <c r="X52" s="10">
        <v>64.459999999999994</v>
      </c>
      <c r="Y52" s="10">
        <v>65.64</v>
      </c>
      <c r="Z52" s="10">
        <v>62.7</v>
      </c>
      <c r="AA52" s="10">
        <v>65.349999999999994</v>
      </c>
      <c r="AB52" s="95">
        <v>5774700</v>
      </c>
      <c r="AC52" s="10">
        <v>64.95</v>
      </c>
      <c r="AD52" s="2">
        <f t="shared" si="0"/>
        <v>2.9399999999999977</v>
      </c>
      <c r="AE52" s="138">
        <f t="shared" si="1"/>
        <v>-9.7575849977130646E-3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73.529399999999995</v>
      </c>
      <c r="Q53" s="2"/>
      <c r="T53" s="93" t="s">
        <v>107</v>
      </c>
      <c r="U53" s="90">
        <v>2389670</v>
      </c>
      <c r="W53" s="133">
        <v>42681</v>
      </c>
      <c r="X53" s="10">
        <v>66.23</v>
      </c>
      <c r="Y53" s="10">
        <v>66.39</v>
      </c>
      <c r="Z53" s="10">
        <v>65.38</v>
      </c>
      <c r="AA53" s="10">
        <v>66</v>
      </c>
      <c r="AB53" s="95">
        <v>3356900</v>
      </c>
      <c r="AC53" s="10">
        <v>65.59</v>
      </c>
      <c r="AD53" s="2">
        <f t="shared" si="0"/>
        <v>1.0100000000000051</v>
      </c>
      <c r="AE53" s="138">
        <f t="shared" si="1"/>
        <v>1.2660182183109603E-2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72.7791</v>
      </c>
      <c r="T54" s="93" t="s">
        <v>110</v>
      </c>
      <c r="U54" s="90">
        <v>3211800</v>
      </c>
      <c r="W54" s="133">
        <v>42678</v>
      </c>
      <c r="X54" s="10">
        <v>65.58</v>
      </c>
      <c r="Y54" s="10">
        <v>66.010000000000005</v>
      </c>
      <c r="Z54" s="10">
        <v>64.77</v>
      </c>
      <c r="AA54" s="10">
        <v>65.17</v>
      </c>
      <c r="AB54" s="95">
        <v>5803600</v>
      </c>
      <c r="AC54" s="10">
        <v>64.77</v>
      </c>
      <c r="AD54" s="2">
        <f t="shared" si="0"/>
        <v>1.2400000000000091</v>
      </c>
      <c r="AE54" s="138">
        <f t="shared" si="1"/>
        <v>-3.2317636195753341E-3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72.028800000000004</v>
      </c>
      <c r="T55" s="93" t="s">
        <v>108</v>
      </c>
      <c r="U55" s="88" t="s">
        <v>575</v>
      </c>
      <c r="W55" s="133">
        <v>42677</v>
      </c>
      <c r="X55" s="10">
        <v>69.010000000000005</v>
      </c>
      <c r="Y55" s="10">
        <v>69.55</v>
      </c>
      <c r="Z55" s="10">
        <v>65.02</v>
      </c>
      <c r="AA55" s="10">
        <v>65.38</v>
      </c>
      <c r="AB55" s="95">
        <v>5542100</v>
      </c>
      <c r="AC55" s="10">
        <v>64.98</v>
      </c>
      <c r="AD55" s="2">
        <f t="shared" si="0"/>
        <v>4.5300000000000011</v>
      </c>
      <c r="AE55" s="138">
        <f t="shared" si="1"/>
        <v>-4.777256740914404E-2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71.278499999999994</v>
      </c>
      <c r="T56" s="93" t="s">
        <v>111</v>
      </c>
      <c r="U56" s="88">
        <v>18.16</v>
      </c>
      <c r="W56" s="133">
        <v>42676</v>
      </c>
      <c r="X56" s="10">
        <v>67.09</v>
      </c>
      <c r="Y56" s="10">
        <v>68.95</v>
      </c>
      <c r="Z56" s="10">
        <v>66.92</v>
      </c>
      <c r="AA56" s="10">
        <v>68.66</v>
      </c>
      <c r="AB56" s="95">
        <v>4877800</v>
      </c>
      <c r="AC56" s="10">
        <v>68.239999999999995</v>
      </c>
      <c r="AD56" s="2">
        <f t="shared" si="0"/>
        <v>2.0300000000000011</v>
      </c>
      <c r="AE56" s="138">
        <f t="shared" si="1"/>
        <v>2.6474127557159832E-2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70.528199999999998</v>
      </c>
      <c r="T57" s="93" t="s">
        <v>112</v>
      </c>
      <c r="U57" s="88">
        <v>4.13</v>
      </c>
      <c r="W57" s="133">
        <v>42675</v>
      </c>
      <c r="X57" s="10">
        <v>68.53</v>
      </c>
      <c r="Y57" s="10">
        <v>68.900000000000006</v>
      </c>
      <c r="Z57" s="10">
        <v>66.33</v>
      </c>
      <c r="AA57" s="10">
        <v>66.89</v>
      </c>
      <c r="AB57" s="95">
        <v>6047400</v>
      </c>
      <c r="AC57" s="10">
        <v>66.48</v>
      </c>
      <c r="AD57" s="2">
        <f t="shared" si="0"/>
        <v>2.5700000000000074</v>
      </c>
      <c r="AE57" s="138">
        <f t="shared" si="1"/>
        <v>-2.6076765309112182E-2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69.777900000000002</v>
      </c>
      <c r="T58" s="93" t="s">
        <v>109</v>
      </c>
      <c r="U58" s="88" t="s">
        <v>647</v>
      </c>
      <c r="W58" s="133">
        <v>42674</v>
      </c>
      <c r="X58" s="10">
        <v>68.53</v>
      </c>
      <c r="Y58" s="10">
        <v>71.13</v>
      </c>
      <c r="Z58" s="10">
        <v>67.84</v>
      </c>
      <c r="AA58" s="10">
        <v>68.69</v>
      </c>
      <c r="AB58" s="95">
        <v>7407200</v>
      </c>
      <c r="AC58" s="10">
        <v>68.260000000000005</v>
      </c>
      <c r="AD58" s="2">
        <f t="shared" si="0"/>
        <v>3.289999999999992</v>
      </c>
      <c r="AE58" s="138">
        <f t="shared" si="1"/>
        <v>1.7590936195587492E-2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69.027600000000007</v>
      </c>
      <c r="W59" s="133">
        <v>42671</v>
      </c>
      <c r="X59" s="10">
        <v>65.069999999999993</v>
      </c>
      <c r="Y59" s="10">
        <v>68.900000000000006</v>
      </c>
      <c r="Z59" s="10">
        <v>63.26</v>
      </c>
      <c r="AA59" s="10">
        <v>67.5</v>
      </c>
      <c r="AB59" s="95">
        <v>13666700</v>
      </c>
      <c r="AC59" s="10">
        <v>67.08</v>
      </c>
      <c r="AD59" s="2">
        <f t="shared" si="0"/>
        <v>5.6400000000000077</v>
      </c>
      <c r="AE59" s="138">
        <f t="shared" si="1"/>
        <v>-9.7659402744148527E-2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68.277299999999997</v>
      </c>
      <c r="W60" s="133">
        <v>42670</v>
      </c>
      <c r="X60" s="10">
        <v>74.69</v>
      </c>
      <c r="Y60" s="10">
        <v>75.180000000000007</v>
      </c>
      <c r="Z60" s="10">
        <v>74.3</v>
      </c>
      <c r="AA60" s="10">
        <v>74.8</v>
      </c>
      <c r="AB60" s="95">
        <v>1757000</v>
      </c>
      <c r="AC60" s="10">
        <v>74.34</v>
      </c>
      <c r="AD60" s="2">
        <f t="shared" si="0"/>
        <v>0.88000000000000966</v>
      </c>
      <c r="AE60" s="138">
        <f t="shared" si="1"/>
        <v>5.4097917230186976E-3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67.527000000000001</v>
      </c>
      <c r="W61" s="133">
        <v>42669</v>
      </c>
      <c r="X61" s="10">
        <v>74.56</v>
      </c>
      <c r="Y61" s="10">
        <v>74.87</v>
      </c>
      <c r="Z61" s="10">
        <v>73.5</v>
      </c>
      <c r="AA61" s="10">
        <v>74.400000000000006</v>
      </c>
      <c r="AB61" s="95">
        <v>2151600</v>
      </c>
      <c r="AC61" s="10">
        <v>73.94</v>
      </c>
      <c r="AD61" s="2">
        <f t="shared" si="0"/>
        <v>1.3700000000000045</v>
      </c>
      <c r="AE61" s="138">
        <f t="shared" si="1"/>
        <v>-6.8502350570853743E-3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75.33</v>
      </c>
      <c r="Y62" s="10">
        <v>75.33</v>
      </c>
      <c r="Z62" s="10">
        <v>74.34</v>
      </c>
      <c r="AA62" s="10">
        <v>74.91</v>
      </c>
      <c r="AB62" s="95">
        <v>2252200</v>
      </c>
      <c r="AC62" s="10">
        <v>74.45</v>
      </c>
      <c r="AD62" s="2">
        <f t="shared" si="0"/>
        <v>0.98999999999999488</v>
      </c>
      <c r="AE62" s="138">
        <f t="shared" si="1"/>
        <v>-9.1828586638275089E-3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75.58</v>
      </c>
      <c r="Y63" s="10">
        <v>76.349999999999994</v>
      </c>
      <c r="Z63" s="10">
        <v>75.55</v>
      </c>
      <c r="AA63" s="10">
        <v>75.61</v>
      </c>
      <c r="AB63" s="95">
        <v>1427700</v>
      </c>
      <c r="AC63" s="10">
        <v>75.14</v>
      </c>
      <c r="AD63" s="2">
        <f t="shared" si="0"/>
        <v>0.79999999999999716</v>
      </c>
      <c r="AE63" s="138">
        <f t="shared" si="1"/>
        <v>6.1596143545794568E-3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75.150000000000006</v>
      </c>
      <c r="Y64" s="10">
        <v>75.209999999999994</v>
      </c>
      <c r="Z64" s="10">
        <v>74.540000000000006</v>
      </c>
      <c r="AA64" s="10">
        <v>75.150000000000006</v>
      </c>
      <c r="AB64" s="95">
        <v>1689600</v>
      </c>
      <c r="AC64" s="10">
        <v>74.680000000000007</v>
      </c>
      <c r="AD64" s="2">
        <f t="shared" si="0"/>
        <v>0.66999999999998749</v>
      </c>
      <c r="AE64" s="138">
        <f t="shared" si="1"/>
        <v>-5.72493675941943E-3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75.239999999999995</v>
      </c>
      <c r="Y65" s="10">
        <v>75.73</v>
      </c>
      <c r="Z65" s="10">
        <v>75.05</v>
      </c>
      <c r="AA65" s="10">
        <v>75.58</v>
      </c>
      <c r="AB65" s="95">
        <v>1209100</v>
      </c>
      <c r="AC65" s="10">
        <v>75.11</v>
      </c>
      <c r="AD65" s="2">
        <f t="shared" si="0"/>
        <v>0.68000000000000682</v>
      </c>
      <c r="AE65" s="138">
        <f t="shared" si="1"/>
        <v>4.9504950495049549E-3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75.739999999999995</v>
      </c>
      <c r="Y66" s="10">
        <v>75.88</v>
      </c>
      <c r="Z66" s="10">
        <v>75.14</v>
      </c>
      <c r="AA66" s="10">
        <v>75.209999999999994</v>
      </c>
      <c r="AB66" s="95">
        <v>1697200</v>
      </c>
      <c r="AC66" s="10">
        <v>74.739999999999995</v>
      </c>
      <c r="AD66" s="2">
        <f t="shared" si="0"/>
        <v>0.73999999999999488</v>
      </c>
      <c r="AE66" s="138">
        <f t="shared" si="1"/>
        <v>-6.909380813181154E-3</v>
      </c>
    </row>
    <row r="67" spans="1:31" x14ac:dyDescent="0.25">
      <c r="L67" t="s">
        <v>65</v>
      </c>
      <c r="M67" s="2">
        <f>M85+K85-F85</f>
        <v>660.56999999999971</v>
      </c>
      <c r="W67" s="133">
        <v>42661</v>
      </c>
      <c r="X67" s="10">
        <v>75.53</v>
      </c>
      <c r="Y67" s="10">
        <v>75.849999999999994</v>
      </c>
      <c r="Z67" s="10">
        <v>75.14</v>
      </c>
      <c r="AA67" s="10">
        <v>75.73</v>
      </c>
      <c r="AB67" s="95">
        <v>1296000</v>
      </c>
      <c r="AC67" s="10">
        <v>75.260000000000005</v>
      </c>
      <c r="AD67" s="2">
        <f>Y67-Z67</f>
        <v>0.70999999999999375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42660</v>
      </c>
      <c r="X68" s="10">
        <v>75.27</v>
      </c>
      <c r="Y68" s="10">
        <v>75.510000000000005</v>
      </c>
      <c r="Z68" s="10">
        <v>74.91</v>
      </c>
      <c r="AA68" s="10">
        <v>74.959999999999994</v>
      </c>
      <c r="AB68" s="95">
        <v>1050100</v>
      </c>
      <c r="AC68" s="10">
        <v>74.5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199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42755</v>
      </c>
      <c r="X2" s="10">
        <v>49.77</v>
      </c>
      <c r="Y2" s="10">
        <v>50.54</v>
      </c>
      <c r="Z2" s="10">
        <v>49.71</v>
      </c>
      <c r="AA2" s="10">
        <v>50.5</v>
      </c>
      <c r="AB2" s="95">
        <v>7432000</v>
      </c>
      <c r="AC2" s="10">
        <v>50.5</v>
      </c>
      <c r="AD2" s="2">
        <f>Y2-Z2</f>
        <v>0.82999999999999829</v>
      </c>
      <c r="AE2" s="138">
        <f>AC2/AC3-1</f>
        <v>1.609657947686105E-2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50.5</v>
      </c>
      <c r="T3" s="1">
        <v>42565</v>
      </c>
      <c r="U3" t="s">
        <v>245</v>
      </c>
      <c r="W3" s="133">
        <v>42754</v>
      </c>
      <c r="X3" s="10">
        <v>50.28</v>
      </c>
      <c r="Y3" s="10">
        <v>50.5</v>
      </c>
      <c r="Z3" s="10">
        <v>49.62</v>
      </c>
      <c r="AA3" s="10">
        <v>49.7</v>
      </c>
      <c r="AB3" s="95">
        <v>6968200</v>
      </c>
      <c r="AC3" s="10">
        <v>49.7</v>
      </c>
      <c r="AD3" s="2">
        <f t="shared" ref="AD3:AD66" si="0">Y3-Z3</f>
        <v>0.88000000000000256</v>
      </c>
      <c r="AE3" s="138">
        <f t="shared" ref="AE3:AE66" si="1">AC3/AC4-1</f>
        <v>-1.1928429423459175E-2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50.5</v>
      </c>
      <c r="R4" s="530">
        <v>1.61E-2</v>
      </c>
      <c r="T4" s="518">
        <v>42568</v>
      </c>
      <c r="U4" t="s">
        <v>257</v>
      </c>
      <c r="W4" s="133">
        <v>42753</v>
      </c>
      <c r="X4" s="10">
        <v>50.14</v>
      </c>
      <c r="Y4" s="10">
        <v>50.8</v>
      </c>
      <c r="Z4" s="10">
        <v>49.79</v>
      </c>
      <c r="AA4" s="10">
        <v>50.3</v>
      </c>
      <c r="AB4" s="95">
        <v>7074400</v>
      </c>
      <c r="AC4" s="10">
        <v>50.3</v>
      </c>
      <c r="AD4" s="2">
        <f t="shared" si="0"/>
        <v>1.009999999999998</v>
      </c>
      <c r="AE4" s="138">
        <f t="shared" si="1"/>
        <v>-5.9606596463346317E-4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280</v>
      </c>
      <c r="W5" s="133">
        <v>42752</v>
      </c>
      <c r="X5" s="10">
        <v>50.99</v>
      </c>
      <c r="Y5" s="10">
        <v>51.22</v>
      </c>
      <c r="Z5" s="10">
        <v>50.19</v>
      </c>
      <c r="AA5" s="10">
        <v>50.33</v>
      </c>
      <c r="AB5" s="95">
        <v>7465800</v>
      </c>
      <c r="AC5" s="10">
        <v>50.33</v>
      </c>
      <c r="AD5" s="2">
        <f t="shared" si="0"/>
        <v>1.0300000000000011</v>
      </c>
      <c r="AE5" s="138">
        <f t="shared" si="1"/>
        <v>-1.7567831348819007E-2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284</v>
      </c>
      <c r="W6" s="133">
        <v>42748</v>
      </c>
      <c r="X6" s="10">
        <v>50.79</v>
      </c>
      <c r="Y6" s="10">
        <v>51.64</v>
      </c>
      <c r="Z6" s="10">
        <v>50.78</v>
      </c>
      <c r="AA6" s="10">
        <v>51.23</v>
      </c>
      <c r="AB6" s="95">
        <v>7363400</v>
      </c>
      <c r="AC6" s="10">
        <v>51.23</v>
      </c>
      <c r="AD6" s="2">
        <f t="shared" si="0"/>
        <v>0.85999999999999943</v>
      </c>
      <c r="AE6" s="138">
        <f t="shared" si="1"/>
        <v>6.6810768323835035E-3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42747</v>
      </c>
      <c r="X7" s="10">
        <v>51.3</v>
      </c>
      <c r="Y7" s="10">
        <v>52</v>
      </c>
      <c r="Z7" s="10">
        <v>49.67</v>
      </c>
      <c r="AA7" s="10">
        <v>50.89</v>
      </c>
      <c r="AB7" s="95">
        <v>14269200</v>
      </c>
      <c r="AC7" s="10">
        <v>50.89</v>
      </c>
      <c r="AD7" s="2">
        <f t="shared" si="0"/>
        <v>2.3299999999999983</v>
      </c>
      <c r="AE7" s="138">
        <f t="shared" si="1"/>
        <v>-1.0692068429237866E-2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42746</v>
      </c>
      <c r="X8" s="10">
        <v>51.46</v>
      </c>
      <c r="Y8" s="10">
        <v>51.74</v>
      </c>
      <c r="Z8" s="10">
        <v>50.65</v>
      </c>
      <c r="AA8" s="10">
        <v>51.44</v>
      </c>
      <c r="AB8" s="95">
        <v>9923400</v>
      </c>
      <c r="AC8" s="10">
        <v>51.44</v>
      </c>
      <c r="AD8" s="2">
        <f t="shared" si="0"/>
        <v>1.0900000000000034</v>
      </c>
      <c r="AE8" s="138">
        <f t="shared" si="1"/>
        <v>1.0013744354997023E-2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49.93</v>
      </c>
      <c r="Y9" s="10">
        <v>51.35</v>
      </c>
      <c r="Z9" s="10">
        <v>49.86</v>
      </c>
      <c r="AA9" s="10">
        <v>50.93</v>
      </c>
      <c r="AB9" s="95">
        <v>8389700</v>
      </c>
      <c r="AC9" s="10">
        <v>50.93</v>
      </c>
      <c r="AD9" s="2">
        <f t="shared" si="0"/>
        <v>1.490000000000002</v>
      </c>
      <c r="AE9" s="138">
        <f t="shared" si="1"/>
        <v>2.4954719259408398E-2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214</v>
      </c>
      <c r="P10" s="34"/>
      <c r="Q10" s="2">
        <f>M104 + M126</f>
        <v>1198.4699999999971</v>
      </c>
      <c r="W10" s="133">
        <v>42744</v>
      </c>
      <c r="X10" s="10">
        <v>49.46</v>
      </c>
      <c r="Y10" s="10">
        <v>50.17</v>
      </c>
      <c r="Z10" s="10">
        <v>49.42</v>
      </c>
      <c r="AA10" s="10">
        <v>49.69</v>
      </c>
      <c r="AB10" s="95">
        <v>5330100</v>
      </c>
      <c r="AC10" s="10">
        <v>49.69</v>
      </c>
      <c r="AD10" s="2">
        <f t="shared" si="0"/>
        <v>0.75</v>
      </c>
      <c r="AE10" s="138">
        <f t="shared" si="1"/>
        <v>2.0128824476639551E-4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1.6E-2</v>
      </c>
      <c r="W11" s="133">
        <v>42741</v>
      </c>
      <c r="X11" s="10">
        <v>49.79</v>
      </c>
      <c r="Y11" s="10">
        <v>50.3</v>
      </c>
      <c r="Z11" s="10">
        <v>49.22</v>
      </c>
      <c r="AA11" s="10">
        <v>49.68</v>
      </c>
      <c r="AB11" s="95">
        <v>6919400</v>
      </c>
      <c r="AC11" s="10">
        <v>49.68</v>
      </c>
      <c r="AD11" s="2">
        <f t="shared" si="0"/>
        <v>1.0799999999999983</v>
      </c>
      <c r="AE11" s="138">
        <f t="shared" si="1"/>
        <v>-1.0054293183188179E-3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50.41</v>
      </c>
      <c r="Y12" s="10">
        <v>50.69</v>
      </c>
      <c r="Z12" s="10">
        <v>49.5</v>
      </c>
      <c r="AA12" s="10">
        <v>49.73</v>
      </c>
      <c r="AB12" s="95">
        <v>5739500</v>
      </c>
      <c r="AC12" s="10">
        <v>49.73</v>
      </c>
      <c r="AD12" s="2">
        <f t="shared" si="0"/>
        <v>1.1899999999999977</v>
      </c>
      <c r="AE12" s="138">
        <f t="shared" si="1"/>
        <v>-1.9132149901380791E-2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42739</v>
      </c>
      <c r="X13" s="10">
        <v>50.09</v>
      </c>
      <c r="Y13" s="10">
        <v>50.93</v>
      </c>
      <c r="Z13" s="10">
        <v>49.99</v>
      </c>
      <c r="AA13" s="10">
        <v>50.7</v>
      </c>
      <c r="AB13" s="95">
        <v>7783600</v>
      </c>
      <c r="AC13" s="10">
        <v>50.7</v>
      </c>
      <c r="AD13" s="2">
        <f t="shared" si="0"/>
        <v>0.93999999999999773</v>
      </c>
      <c r="AE13" s="138">
        <f t="shared" si="1"/>
        <v>2.4656426839126944E-2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42738</v>
      </c>
      <c r="X14" s="10">
        <v>49.37</v>
      </c>
      <c r="Y14" s="10">
        <v>50.14</v>
      </c>
      <c r="Z14" s="10">
        <v>49.17</v>
      </c>
      <c r="AA14" s="10">
        <v>49.48</v>
      </c>
      <c r="AB14" s="95">
        <v>5406400</v>
      </c>
      <c r="AC14" s="10">
        <v>49.48</v>
      </c>
      <c r="AD14" s="2">
        <f t="shared" si="0"/>
        <v>0.96999999999999886</v>
      </c>
      <c r="AE14" s="138">
        <f t="shared" si="1"/>
        <v>5.8955072169140088E-3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42734</v>
      </c>
      <c r="X15" s="10">
        <v>49.34</v>
      </c>
      <c r="Y15" s="10">
        <v>49.56</v>
      </c>
      <c r="Z15" s="10">
        <v>48.87</v>
      </c>
      <c r="AA15" s="10">
        <v>49.19</v>
      </c>
      <c r="AB15" s="95">
        <v>4526400</v>
      </c>
      <c r="AC15" s="10">
        <v>49.19</v>
      </c>
      <c r="AD15" s="2">
        <f t="shared" si="0"/>
        <v>0.69000000000000483</v>
      </c>
      <c r="AE15" s="138">
        <f t="shared" si="1"/>
        <v>-2.4335834516325816E-3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42733</v>
      </c>
      <c r="X16" s="10">
        <v>49.54</v>
      </c>
      <c r="Y16" s="10">
        <v>49.85</v>
      </c>
      <c r="Z16" s="10">
        <v>49.21</v>
      </c>
      <c r="AA16" s="10">
        <v>49.31</v>
      </c>
      <c r="AB16" s="95">
        <v>3342500</v>
      </c>
      <c r="AC16" s="10">
        <v>49.31</v>
      </c>
      <c r="AD16" s="2">
        <f t="shared" si="0"/>
        <v>0.64000000000000057</v>
      </c>
      <c r="AE16" s="138">
        <f t="shared" si="1"/>
        <v>-4.0395879620277464E-3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42732</v>
      </c>
      <c r="X17" s="10">
        <v>50.35</v>
      </c>
      <c r="Y17" s="10">
        <v>50.46</v>
      </c>
      <c r="Z17" s="10">
        <v>49.45</v>
      </c>
      <c r="AA17" s="10">
        <v>49.51</v>
      </c>
      <c r="AB17" s="95">
        <v>4432000</v>
      </c>
      <c r="AC17" s="10">
        <v>49.51</v>
      </c>
      <c r="AD17" s="2">
        <f t="shared" si="0"/>
        <v>1.009999999999998</v>
      </c>
      <c r="AE17" s="138">
        <f t="shared" si="1"/>
        <v>-1.6878474980143054E-2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42731</v>
      </c>
      <c r="X18" s="10">
        <v>49.95</v>
      </c>
      <c r="Y18" s="10">
        <v>50.61</v>
      </c>
      <c r="Z18" s="10">
        <v>49.93</v>
      </c>
      <c r="AA18" s="10">
        <v>50.36</v>
      </c>
      <c r="AB18" s="95">
        <v>3330900</v>
      </c>
      <c r="AC18" s="10">
        <v>50.36</v>
      </c>
      <c r="AD18" s="2">
        <f t="shared" si="0"/>
        <v>0.67999999999999972</v>
      </c>
      <c r="AE18" s="138">
        <f t="shared" si="1"/>
        <v>9.4207255963119074E-3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42727</v>
      </c>
      <c r="X19" s="10">
        <v>49.94</v>
      </c>
      <c r="Y19" s="10">
        <v>50.14</v>
      </c>
      <c r="Z19" s="10">
        <v>49.78</v>
      </c>
      <c r="AA19" s="10">
        <v>49.89</v>
      </c>
      <c r="AB19" s="95">
        <v>4043800</v>
      </c>
      <c r="AC19" s="10">
        <v>49.89</v>
      </c>
      <c r="AD19" s="2">
        <f t="shared" si="0"/>
        <v>0.35999999999999943</v>
      </c>
      <c r="AE19" s="138">
        <f t="shared" si="1"/>
        <v>1.8072289156627619E-3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42726</v>
      </c>
      <c r="X20" s="10">
        <v>50.77</v>
      </c>
      <c r="Y20" s="10">
        <v>50.85</v>
      </c>
      <c r="Z20" s="10">
        <v>49.66</v>
      </c>
      <c r="AA20" s="10">
        <v>49.8</v>
      </c>
      <c r="AB20" s="95">
        <v>5348400</v>
      </c>
      <c r="AC20" s="10">
        <v>49.8</v>
      </c>
      <c r="AD20" s="2">
        <f t="shared" si="0"/>
        <v>1.1900000000000048</v>
      </c>
      <c r="AE20" s="138">
        <f t="shared" si="1"/>
        <v>-2.1995286724273422E-2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42725</v>
      </c>
      <c r="X21" s="10">
        <v>50.68</v>
      </c>
      <c r="Y21" s="10">
        <v>51.15</v>
      </c>
      <c r="Z21" s="10">
        <v>50.45</v>
      </c>
      <c r="AA21" s="10">
        <v>50.92</v>
      </c>
      <c r="AB21" s="95">
        <v>4076400</v>
      </c>
      <c r="AC21" s="10">
        <v>50.92</v>
      </c>
      <c r="AD21" s="2">
        <f t="shared" si="0"/>
        <v>0.69999999999999574</v>
      </c>
      <c r="AE21" s="138">
        <f t="shared" si="1"/>
        <v>3.1520882584712417E-3</v>
      </c>
    </row>
    <row r="22" spans="1:31" x14ac:dyDescent="0.25">
      <c r="W22" s="133">
        <v>42724</v>
      </c>
      <c r="X22" s="10">
        <v>50.43</v>
      </c>
      <c r="Y22" s="10">
        <v>51.15</v>
      </c>
      <c r="Z22" s="10">
        <v>50.42</v>
      </c>
      <c r="AA22" s="10">
        <v>50.76</v>
      </c>
      <c r="AB22" s="95">
        <v>6027400</v>
      </c>
      <c r="AC22" s="10">
        <v>50.76</v>
      </c>
      <c r="AD22" s="2">
        <f t="shared" si="0"/>
        <v>0.72999999999999687</v>
      </c>
      <c r="AE22" s="138">
        <f t="shared" si="1"/>
        <v>6.7433558111860137E-3</v>
      </c>
    </row>
    <row r="23" spans="1:31" x14ac:dyDescent="0.25">
      <c r="W23" s="133">
        <v>42723</v>
      </c>
      <c r="X23" s="10">
        <v>50.22</v>
      </c>
      <c r="Y23" s="10">
        <v>50.74</v>
      </c>
      <c r="Z23" s="10">
        <v>50.19</v>
      </c>
      <c r="AA23" s="10">
        <v>50.42</v>
      </c>
      <c r="AB23" s="95">
        <v>4915500</v>
      </c>
      <c r="AC23" s="10">
        <v>50.42</v>
      </c>
      <c r="AD23" s="2">
        <f t="shared" si="0"/>
        <v>0.55000000000000426</v>
      </c>
      <c r="AE23" s="138">
        <f t="shared" si="1"/>
        <v>5.1834130781500676E-3</v>
      </c>
    </row>
    <row r="24" spans="1:31" x14ac:dyDescent="0.25">
      <c r="W24" s="133">
        <v>42720</v>
      </c>
      <c r="X24" s="10">
        <v>51.02</v>
      </c>
      <c r="Y24" s="10">
        <v>51.5</v>
      </c>
      <c r="Z24" s="10">
        <v>50.09</v>
      </c>
      <c r="AA24" s="10">
        <v>50.16</v>
      </c>
      <c r="AB24" s="95">
        <v>9967400</v>
      </c>
      <c r="AC24" s="10">
        <v>50.16</v>
      </c>
      <c r="AD24" s="2">
        <f t="shared" si="0"/>
        <v>1.4099999999999966</v>
      </c>
      <c r="AE24" s="138">
        <f t="shared" si="1"/>
        <v>-6.7326732673268497E-3</v>
      </c>
    </row>
    <row r="25" spans="1:31" x14ac:dyDescent="0.25">
      <c r="W25" s="133">
        <v>42719</v>
      </c>
      <c r="X25" s="10">
        <v>50.48</v>
      </c>
      <c r="Y25" s="10">
        <v>51.74</v>
      </c>
      <c r="Z25" s="10">
        <v>50.43</v>
      </c>
      <c r="AA25" s="10">
        <v>50.5</v>
      </c>
      <c r="AB25" s="95">
        <v>10286900</v>
      </c>
      <c r="AC25" s="10">
        <v>50.5</v>
      </c>
      <c r="AD25" s="2">
        <f t="shared" si="0"/>
        <v>1.3100000000000023</v>
      </c>
      <c r="AE25" s="138">
        <f t="shared" si="1"/>
        <v>1.3649136892814218E-2</v>
      </c>
    </row>
    <row r="26" spans="1:31" x14ac:dyDescent="0.25">
      <c r="W26" s="133">
        <v>42718</v>
      </c>
      <c r="X26" s="10">
        <v>49.86</v>
      </c>
      <c r="Y26" s="10">
        <v>50.58</v>
      </c>
      <c r="Z26" s="10">
        <v>49.58</v>
      </c>
      <c r="AA26" s="10">
        <v>49.82</v>
      </c>
      <c r="AB26" s="95">
        <v>9482900</v>
      </c>
      <c r="AC26" s="10">
        <v>49.82</v>
      </c>
      <c r="AD26" s="2">
        <f t="shared" si="0"/>
        <v>1</v>
      </c>
      <c r="AE26" s="138">
        <f t="shared" si="1"/>
        <v>3.2219089810714419E-3</v>
      </c>
    </row>
    <row r="27" spans="1:31" x14ac:dyDescent="0.25">
      <c r="W27" s="133">
        <v>42717</v>
      </c>
      <c r="X27" s="10">
        <v>50.02</v>
      </c>
      <c r="Y27" s="10">
        <v>50.7</v>
      </c>
      <c r="Z27" s="10">
        <v>49.62</v>
      </c>
      <c r="AA27" s="10">
        <v>49.66</v>
      </c>
      <c r="AB27" s="95">
        <v>8758100</v>
      </c>
      <c r="AC27" s="10">
        <v>49.66</v>
      </c>
      <c r="AD27" s="2">
        <f t="shared" si="0"/>
        <v>1.0800000000000054</v>
      </c>
      <c r="AE27" s="138">
        <f t="shared" si="1"/>
        <v>-6.2037222333400921E-3</v>
      </c>
    </row>
    <row r="28" spans="1:31" x14ac:dyDescent="0.25">
      <c r="H28" s="72"/>
      <c r="W28" s="133">
        <v>42716</v>
      </c>
      <c r="X28" s="10">
        <v>51.03</v>
      </c>
      <c r="Y28" s="10">
        <v>51.34</v>
      </c>
      <c r="Z28" s="10">
        <v>49.93</v>
      </c>
      <c r="AA28" s="10">
        <v>49.97</v>
      </c>
      <c r="AB28" s="95">
        <v>8465600</v>
      </c>
      <c r="AC28" s="10">
        <v>49.97</v>
      </c>
      <c r="AD28" s="2">
        <f t="shared" si="0"/>
        <v>1.4100000000000037</v>
      </c>
      <c r="AE28" s="138">
        <f t="shared" si="1"/>
        <v>-3.4955581305523453E-2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42713</v>
      </c>
      <c r="X29" s="10">
        <v>52</v>
      </c>
      <c r="Y29" s="10">
        <v>52.76</v>
      </c>
      <c r="Z29" s="10">
        <v>51.26</v>
      </c>
      <c r="AA29" s="10">
        <v>51.78</v>
      </c>
      <c r="AB29" s="95">
        <v>8523500</v>
      </c>
      <c r="AC29" s="10">
        <v>51.78</v>
      </c>
      <c r="AD29" s="2">
        <f t="shared" si="0"/>
        <v>1.5</v>
      </c>
      <c r="AE29" s="138">
        <f t="shared" si="1"/>
        <v>8.3739045764361641E-3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42712</v>
      </c>
      <c r="X30" s="10">
        <v>51.1</v>
      </c>
      <c r="Y30" s="10">
        <v>51.92</v>
      </c>
      <c r="Z30" s="10">
        <v>50.54</v>
      </c>
      <c r="AA30" s="10">
        <v>51.35</v>
      </c>
      <c r="AB30" s="95">
        <v>9432200</v>
      </c>
      <c r="AC30" s="10">
        <v>51.35</v>
      </c>
      <c r="AD30" s="2">
        <f t="shared" si="0"/>
        <v>1.3800000000000026</v>
      </c>
      <c r="AE30" s="138">
        <f t="shared" si="1"/>
        <v>4.8923679060666192E-3</v>
      </c>
    </row>
    <row r="31" spans="1:31" x14ac:dyDescent="0.25">
      <c r="W31" s="133">
        <v>42711</v>
      </c>
      <c r="X31" s="10">
        <v>49.44</v>
      </c>
      <c r="Y31" s="10">
        <v>51.33</v>
      </c>
      <c r="Z31" s="10">
        <v>49.18</v>
      </c>
      <c r="AA31" s="10">
        <v>51.1</v>
      </c>
      <c r="AB31" s="95">
        <v>10667600</v>
      </c>
      <c r="AC31" s="10">
        <v>51.1</v>
      </c>
      <c r="AD31" s="2">
        <f t="shared" si="0"/>
        <v>2.1499999999999986</v>
      </c>
      <c r="AE31" s="138">
        <f t="shared" si="1"/>
        <v>3.378515071818744E-2</v>
      </c>
    </row>
    <row r="32" spans="1:31" x14ac:dyDescent="0.25">
      <c r="W32" s="133">
        <v>42710</v>
      </c>
      <c r="X32" s="10">
        <v>48.21</v>
      </c>
      <c r="Y32" s="10">
        <v>49.49</v>
      </c>
      <c r="Z32" s="10">
        <v>48.11</v>
      </c>
      <c r="AA32" s="10">
        <v>49.43</v>
      </c>
      <c r="AB32" s="95">
        <v>8999800</v>
      </c>
      <c r="AC32" s="10">
        <v>49.43</v>
      </c>
      <c r="AD32" s="2">
        <f t="shared" si="0"/>
        <v>1.3800000000000026</v>
      </c>
      <c r="AE32" s="138">
        <f t="shared" si="1"/>
        <v>3.366792137181096E-2</v>
      </c>
    </row>
    <row r="33" spans="2:31" x14ac:dyDescent="0.25">
      <c r="W33" s="133">
        <v>42709</v>
      </c>
      <c r="X33" s="10">
        <v>48.51</v>
      </c>
      <c r="Y33" s="10">
        <v>48.81</v>
      </c>
      <c r="Z33" s="10">
        <v>47.59</v>
      </c>
      <c r="AA33" s="10">
        <v>47.82</v>
      </c>
      <c r="AB33" s="95">
        <v>9231400</v>
      </c>
      <c r="AC33" s="10">
        <v>47.82</v>
      </c>
      <c r="AD33" s="2">
        <f t="shared" si="0"/>
        <v>1.2199999999999989</v>
      </c>
      <c r="AE33" s="138">
        <f t="shared" si="1"/>
        <v>-1.0142827571931301E-2</v>
      </c>
    </row>
    <row r="34" spans="2:31" x14ac:dyDescent="0.25">
      <c r="W34" s="133">
        <v>42706</v>
      </c>
      <c r="X34" s="10">
        <v>48.32</v>
      </c>
      <c r="Y34" s="10">
        <v>48.94</v>
      </c>
      <c r="Z34" s="10">
        <v>47.89</v>
      </c>
      <c r="AA34" s="10">
        <v>48.31</v>
      </c>
      <c r="AB34" s="95">
        <v>8869900</v>
      </c>
      <c r="AC34" s="10">
        <v>48.31</v>
      </c>
      <c r="AD34" s="2">
        <f t="shared" si="0"/>
        <v>1.0499999999999972</v>
      </c>
      <c r="AE34" s="138">
        <f t="shared" si="1"/>
        <v>1.130416579443172E-2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42705</v>
      </c>
      <c r="X35" s="10">
        <v>47.96</v>
      </c>
      <c r="Y35" s="10">
        <v>48.94</v>
      </c>
      <c r="Z35" s="10">
        <v>47.6</v>
      </c>
      <c r="AA35" s="10">
        <v>47.77</v>
      </c>
      <c r="AB35" s="95">
        <v>9801500</v>
      </c>
      <c r="AC35" s="10">
        <v>47.77</v>
      </c>
      <c r="AD35" s="2">
        <f t="shared" si="0"/>
        <v>1.3399999999999963</v>
      </c>
      <c r="AE35" s="138">
        <f t="shared" si="1"/>
        <v>-8.5097550850974368E-3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42704</v>
      </c>
      <c r="X36" s="10">
        <v>47.55</v>
      </c>
      <c r="Y36" s="10">
        <v>48.75</v>
      </c>
      <c r="Z36" s="10">
        <v>46.85</v>
      </c>
      <c r="AA36" s="10">
        <v>48.18</v>
      </c>
      <c r="AB36" s="95">
        <v>9181200</v>
      </c>
      <c r="AC36" s="10">
        <v>48.18</v>
      </c>
      <c r="AD36" s="2">
        <f t="shared" si="0"/>
        <v>1.8999999999999986</v>
      </c>
      <c r="AE36" s="138">
        <f t="shared" si="1"/>
        <v>-8.4379501955135217E-3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42703</v>
      </c>
      <c r="X37" s="10">
        <v>48.53</v>
      </c>
      <c r="Y37" s="10">
        <v>49.05</v>
      </c>
      <c r="Z37" s="10">
        <v>48.23</v>
      </c>
      <c r="AA37" s="10">
        <v>48.59</v>
      </c>
      <c r="AB37" s="95">
        <v>6955300</v>
      </c>
      <c r="AC37" s="10">
        <v>48.59</v>
      </c>
      <c r="AD37" s="2">
        <f t="shared" si="0"/>
        <v>0.82000000000000028</v>
      </c>
      <c r="AE37" s="138">
        <f t="shared" si="1"/>
        <v>2.0622808826562533E-3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42702</v>
      </c>
      <c r="X38" s="10">
        <v>49.08</v>
      </c>
      <c r="Y38" s="10">
        <v>49.35</v>
      </c>
      <c r="Z38" s="10">
        <v>48.48</v>
      </c>
      <c r="AA38" s="10">
        <v>48.49</v>
      </c>
      <c r="AB38" s="95">
        <v>9164700</v>
      </c>
      <c r="AC38" s="10">
        <v>48.49</v>
      </c>
      <c r="AD38" s="2">
        <f t="shared" si="0"/>
        <v>0.87000000000000455</v>
      </c>
      <c r="AE38" s="138">
        <f t="shared" si="1"/>
        <v>-1.523151909017062E-2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42699</v>
      </c>
      <c r="X39" s="10">
        <v>49.17</v>
      </c>
      <c r="Y39" s="10">
        <v>49.41</v>
      </c>
      <c r="Z39" s="10">
        <v>48.89</v>
      </c>
      <c r="AA39" s="10">
        <v>49.24</v>
      </c>
      <c r="AB39" s="95">
        <v>2241400</v>
      </c>
      <c r="AC39" s="10">
        <v>49.24</v>
      </c>
      <c r="AD39" s="2">
        <f t="shared" si="0"/>
        <v>0.51999999999999602</v>
      </c>
      <c r="AE39" s="138">
        <f t="shared" si="1"/>
        <v>6.0963218857956747E-4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42697</v>
      </c>
      <c r="X40" s="10">
        <v>48.79</v>
      </c>
      <c r="Y40" s="10">
        <v>49.29</v>
      </c>
      <c r="Z40" s="10">
        <v>48.63</v>
      </c>
      <c r="AA40" s="10">
        <v>49.21</v>
      </c>
      <c r="AB40" s="95">
        <v>4723700</v>
      </c>
      <c r="AC40" s="10">
        <v>49.21</v>
      </c>
      <c r="AD40" s="2">
        <f t="shared" si="0"/>
        <v>0.65999999999999659</v>
      </c>
      <c r="AE40" s="138">
        <f t="shared" si="1"/>
        <v>6.3394683026585241E-3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42696</v>
      </c>
      <c r="X41" s="10">
        <v>48.84</v>
      </c>
      <c r="Y41" s="10">
        <v>49.3</v>
      </c>
      <c r="Z41" s="10">
        <v>48.75</v>
      </c>
      <c r="AA41" s="10">
        <v>48.9</v>
      </c>
      <c r="AB41" s="95">
        <v>8937900</v>
      </c>
      <c r="AC41" s="10">
        <v>48.9</v>
      </c>
      <c r="AD41" s="2">
        <f t="shared" si="0"/>
        <v>0.54999999999999716</v>
      </c>
      <c r="AE41" s="138">
        <f t="shared" si="1"/>
        <v>5.9658506480146922E-3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2" t="s">
        <v>78</v>
      </c>
      <c r="P42" s="632"/>
      <c r="Q42" s="2"/>
      <c r="T42" s="91" t="s">
        <v>113</v>
      </c>
      <c r="W42" s="133">
        <v>42695</v>
      </c>
      <c r="X42" s="10">
        <v>48.98</v>
      </c>
      <c r="Y42" s="10">
        <v>49.17</v>
      </c>
      <c r="Z42" s="10">
        <v>48.51</v>
      </c>
      <c r="AA42" s="10">
        <v>48.61</v>
      </c>
      <c r="AB42" s="95">
        <v>8660300</v>
      </c>
      <c r="AC42" s="10">
        <v>48.61</v>
      </c>
      <c r="AD42" s="2">
        <f t="shared" si="0"/>
        <v>0.66000000000000369</v>
      </c>
      <c r="AE42" s="138">
        <f t="shared" si="1"/>
        <v>-5.9304703476482645E-3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55.550000000000004</v>
      </c>
      <c r="Q43" s="2"/>
      <c r="T43" s="128" t="s">
        <v>98</v>
      </c>
      <c r="U43" s="98">
        <v>49.7</v>
      </c>
      <c r="W43" s="133">
        <v>42692</v>
      </c>
      <c r="X43" s="10">
        <v>48.8</v>
      </c>
      <c r="Y43" s="10">
        <v>48.98</v>
      </c>
      <c r="Z43" s="10">
        <v>48.25</v>
      </c>
      <c r="AA43" s="10">
        <v>48.9</v>
      </c>
      <c r="AB43" s="95">
        <v>7835300</v>
      </c>
      <c r="AC43" s="10">
        <v>48.9</v>
      </c>
      <c r="AD43" s="2">
        <f t="shared" si="0"/>
        <v>0.72999999999999687</v>
      </c>
      <c r="AE43" s="138">
        <f t="shared" si="1"/>
        <v>8.0395794681509258E-3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55.045000000000002</v>
      </c>
      <c r="Q44" s="2"/>
      <c r="T44" s="93" t="s">
        <v>99</v>
      </c>
      <c r="U44" s="88">
        <v>49.77</v>
      </c>
      <c r="W44" s="133">
        <v>42691</v>
      </c>
      <c r="X44" s="10">
        <v>47.41</v>
      </c>
      <c r="Y44" s="10">
        <v>48.53</v>
      </c>
      <c r="Z44" s="10">
        <v>47.21</v>
      </c>
      <c r="AA44" s="10">
        <v>48.51</v>
      </c>
      <c r="AB44" s="95">
        <v>8485900</v>
      </c>
      <c r="AC44" s="10">
        <v>48.51</v>
      </c>
      <c r="AD44" s="2">
        <f t="shared" si="0"/>
        <v>1.3200000000000003</v>
      </c>
      <c r="AE44" s="138">
        <f t="shared" si="1"/>
        <v>2.3849725622625551E-2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54.540000000000006</v>
      </c>
      <c r="Q45" s="2"/>
      <c r="T45" s="93" t="s">
        <v>100</v>
      </c>
      <c r="U45" s="88" t="s">
        <v>129</v>
      </c>
      <c r="W45" s="133">
        <v>42690</v>
      </c>
      <c r="X45" s="10">
        <v>47.59</v>
      </c>
      <c r="Y45" s="10">
        <v>47.74</v>
      </c>
      <c r="Z45" s="10">
        <v>47.16</v>
      </c>
      <c r="AA45" s="10">
        <v>47.38</v>
      </c>
      <c r="AB45" s="95">
        <v>6767300</v>
      </c>
      <c r="AC45" s="10">
        <v>47.38</v>
      </c>
      <c r="AD45" s="2">
        <f t="shared" si="0"/>
        <v>0.5800000000000054</v>
      </c>
      <c r="AE45" s="138">
        <f t="shared" si="1"/>
        <v>-5.6663168940187525E-3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54.035000000000004</v>
      </c>
      <c r="Q46" s="2"/>
      <c r="T46" s="93" t="s">
        <v>101</v>
      </c>
      <c r="U46" s="88" t="s">
        <v>129</v>
      </c>
      <c r="W46" s="133">
        <v>42689</v>
      </c>
      <c r="X46" s="10">
        <v>49.02</v>
      </c>
      <c r="Y46" s="10">
        <v>49.24</v>
      </c>
      <c r="Z46" s="10">
        <v>47</v>
      </c>
      <c r="AA46" s="10">
        <v>47.65</v>
      </c>
      <c r="AB46" s="95">
        <v>14148400</v>
      </c>
      <c r="AC46" s="10">
        <v>47.65</v>
      </c>
      <c r="AD46" s="2">
        <f t="shared" si="0"/>
        <v>2.240000000000002</v>
      </c>
      <c r="AE46" s="138">
        <f t="shared" si="1"/>
        <v>3.7918685485569537E-3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53.53</v>
      </c>
      <c r="Q47" s="2"/>
      <c r="T47" s="93" t="s">
        <v>102</v>
      </c>
      <c r="U47" s="88">
        <v>0.4</v>
      </c>
      <c r="W47" s="133">
        <v>42688</v>
      </c>
      <c r="X47" s="10">
        <v>46.62</v>
      </c>
      <c r="Y47" s="10">
        <v>47.48</v>
      </c>
      <c r="Z47" s="10">
        <v>46.61</v>
      </c>
      <c r="AA47" s="10">
        <v>47.47</v>
      </c>
      <c r="AB47" s="95">
        <v>11729400</v>
      </c>
      <c r="AC47" s="10">
        <v>47.47</v>
      </c>
      <c r="AD47" s="2">
        <f t="shared" si="0"/>
        <v>0.86999999999999744</v>
      </c>
      <c r="AE47" s="138">
        <f t="shared" si="1"/>
        <v>2.3501509271237619E-2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53.025000000000006</v>
      </c>
      <c r="Q48" s="2"/>
      <c r="T48" s="93" t="s">
        <v>103</v>
      </c>
      <c r="U48" s="88">
        <v>0.91983199999999998</v>
      </c>
      <c r="W48" s="133">
        <v>42685</v>
      </c>
      <c r="X48" s="10">
        <v>45.75</v>
      </c>
      <c r="Y48" s="10">
        <v>46.95</v>
      </c>
      <c r="Z48" s="10">
        <v>45.27</v>
      </c>
      <c r="AA48" s="10">
        <v>46.38</v>
      </c>
      <c r="AB48" s="95">
        <v>10232200</v>
      </c>
      <c r="AC48" s="10">
        <v>46.38</v>
      </c>
      <c r="AD48" s="2">
        <f t="shared" si="0"/>
        <v>1.6799999999999997</v>
      </c>
      <c r="AE48" s="138">
        <f t="shared" si="1"/>
        <v>9.3579978237214867E-3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52.52</v>
      </c>
      <c r="Q49" s="2"/>
      <c r="T49" s="93" t="s">
        <v>122</v>
      </c>
      <c r="U49" s="88" t="s">
        <v>433</v>
      </c>
      <c r="W49" s="133">
        <v>42684</v>
      </c>
      <c r="X49" s="10">
        <v>45.42</v>
      </c>
      <c r="Y49" s="10">
        <v>46.13</v>
      </c>
      <c r="Z49" s="10">
        <v>44.97</v>
      </c>
      <c r="AA49" s="10">
        <v>45.95</v>
      </c>
      <c r="AB49" s="95">
        <v>20759900</v>
      </c>
      <c r="AC49" s="10">
        <v>45.95</v>
      </c>
      <c r="AD49" s="2">
        <f t="shared" si="0"/>
        <v>1.1600000000000037</v>
      </c>
      <c r="AE49" s="138">
        <f t="shared" si="1"/>
        <v>1.5469613259668558E-2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52.015000000000001</v>
      </c>
      <c r="Q50" s="2"/>
      <c r="T50" s="93"/>
      <c r="U50" s="88"/>
      <c r="W50" s="133">
        <v>42683</v>
      </c>
      <c r="X50" s="10">
        <v>43.7</v>
      </c>
      <c r="Y50" s="10">
        <v>45.49</v>
      </c>
      <c r="Z50" s="10">
        <v>43.57</v>
      </c>
      <c r="AA50" s="10">
        <v>45.25</v>
      </c>
      <c r="AB50" s="95">
        <v>13139000</v>
      </c>
      <c r="AC50" s="10">
        <v>45.25</v>
      </c>
      <c r="AD50" s="2">
        <f t="shared" si="0"/>
        <v>1.9200000000000017</v>
      </c>
      <c r="AE50" s="138">
        <f t="shared" si="1"/>
        <v>1.6168874915787113E-2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51.51</v>
      </c>
      <c r="Q51" s="2"/>
      <c r="T51" s="93" t="s">
        <v>105</v>
      </c>
      <c r="U51" s="88" t="s">
        <v>576</v>
      </c>
      <c r="W51" s="133">
        <v>42682</v>
      </c>
      <c r="X51" s="10">
        <v>43.63</v>
      </c>
      <c r="Y51" s="10">
        <v>44.64</v>
      </c>
      <c r="Z51" s="10">
        <v>43.13</v>
      </c>
      <c r="AA51" s="10">
        <v>44.53</v>
      </c>
      <c r="AB51" s="95">
        <v>9732800</v>
      </c>
      <c r="AC51" s="10">
        <v>44.53</v>
      </c>
      <c r="AD51" s="2">
        <f t="shared" si="0"/>
        <v>1.509999999999998</v>
      </c>
      <c r="AE51" s="138" t="e">
        <f t="shared" si="1"/>
        <v>#DIV/0!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51.005000000000003</v>
      </c>
      <c r="Q52" s="2"/>
      <c r="T52" s="93" t="s">
        <v>106</v>
      </c>
      <c r="U52" s="88" t="s">
        <v>379</v>
      </c>
      <c r="W52" s="133">
        <v>42682</v>
      </c>
      <c r="X52" s="10" t="s">
        <v>271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50.5</v>
      </c>
      <c r="Q53" s="2"/>
      <c r="T53" s="93" t="s">
        <v>107</v>
      </c>
      <c r="U53" s="90">
        <v>7722376</v>
      </c>
      <c r="W53" s="133">
        <v>42681</v>
      </c>
      <c r="X53" s="10">
        <v>43.4</v>
      </c>
      <c r="Y53" s="10">
        <v>44.61</v>
      </c>
      <c r="Z53" s="10">
        <v>43.03</v>
      </c>
      <c r="AA53" s="10">
        <v>44.21</v>
      </c>
      <c r="AB53" s="95">
        <v>11534700</v>
      </c>
      <c r="AC53" s="10">
        <v>44.01</v>
      </c>
      <c r="AD53" s="2">
        <f t="shared" si="0"/>
        <v>1.5799999999999983</v>
      </c>
      <c r="AE53" s="138">
        <f t="shared" si="1"/>
        <v>3.1162136832239895E-2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49.994999999999997</v>
      </c>
      <c r="T54" s="93" t="s">
        <v>110</v>
      </c>
      <c r="U54" s="90">
        <v>8502360</v>
      </c>
      <c r="W54" s="133">
        <v>42678</v>
      </c>
      <c r="X54" s="10">
        <v>41.81</v>
      </c>
      <c r="Y54" s="10">
        <v>43.24</v>
      </c>
      <c r="Z54" s="10">
        <v>41.75</v>
      </c>
      <c r="AA54" s="10">
        <v>42.88</v>
      </c>
      <c r="AB54" s="95">
        <v>10813000</v>
      </c>
      <c r="AC54" s="10">
        <v>42.68</v>
      </c>
      <c r="AD54" s="2">
        <f t="shared" si="0"/>
        <v>1.490000000000002</v>
      </c>
      <c r="AE54" s="138">
        <f t="shared" si="1"/>
        <v>2.276539659717236E-2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49.49</v>
      </c>
      <c r="T55" s="93" t="s">
        <v>108</v>
      </c>
      <c r="U55" s="88" t="s">
        <v>577</v>
      </c>
      <c r="W55" s="133">
        <v>42677</v>
      </c>
      <c r="X55" s="10">
        <v>42.06</v>
      </c>
      <c r="Y55" s="10">
        <v>42.57</v>
      </c>
      <c r="Z55" s="10">
        <v>41.77</v>
      </c>
      <c r="AA55" s="10">
        <v>41.92</v>
      </c>
      <c r="AB55" s="95">
        <v>8142800</v>
      </c>
      <c r="AC55" s="10">
        <v>41.73</v>
      </c>
      <c r="AD55" s="2">
        <f t="shared" si="0"/>
        <v>0.79999999999999716</v>
      </c>
      <c r="AE55" s="138">
        <f t="shared" si="1"/>
        <v>-2.3957834211796314E-4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48.984999999999999</v>
      </c>
      <c r="T56" s="93" t="s">
        <v>111</v>
      </c>
      <c r="U56" s="88">
        <v>8.7200000000000006</v>
      </c>
      <c r="W56" s="133">
        <v>42676</v>
      </c>
      <c r="X56" s="10">
        <v>41.84</v>
      </c>
      <c r="Y56" s="10">
        <v>42.37</v>
      </c>
      <c r="Z56" s="10">
        <v>41.72</v>
      </c>
      <c r="AA56" s="10">
        <v>41.93</v>
      </c>
      <c r="AB56" s="95">
        <v>10361500</v>
      </c>
      <c r="AC56" s="10">
        <v>41.74</v>
      </c>
      <c r="AD56" s="2">
        <f t="shared" si="0"/>
        <v>0.64999999999999858</v>
      </c>
      <c r="AE56" s="138">
        <f t="shared" si="1"/>
        <v>1.1993283761095874E-3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48.48</v>
      </c>
      <c r="T57" s="93" t="s">
        <v>112</v>
      </c>
      <c r="U57" s="88">
        <v>5.79</v>
      </c>
      <c r="W57" s="133">
        <v>42675</v>
      </c>
      <c r="X57" s="10">
        <v>41.84</v>
      </c>
      <c r="Y57" s="10">
        <v>42.48</v>
      </c>
      <c r="Z57" s="10">
        <v>41.55</v>
      </c>
      <c r="AA57" s="10">
        <v>41.88</v>
      </c>
      <c r="AB57" s="95">
        <v>10889300</v>
      </c>
      <c r="AC57" s="10">
        <v>41.69</v>
      </c>
      <c r="AD57" s="2">
        <f t="shared" si="0"/>
        <v>0.92999999999999972</v>
      </c>
      <c r="AE57" s="138">
        <f t="shared" si="1"/>
        <v>2.6455026455025621E-3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47.974999999999994</v>
      </c>
      <c r="T58" s="93" t="s">
        <v>109</v>
      </c>
      <c r="U58" s="88" t="s">
        <v>648</v>
      </c>
      <c r="W58" s="133">
        <v>42674</v>
      </c>
      <c r="X58" s="10">
        <v>41.72</v>
      </c>
      <c r="Y58" s="10">
        <v>41.82</v>
      </c>
      <c r="Z58" s="10">
        <v>41.13</v>
      </c>
      <c r="AA58" s="10">
        <v>41.77</v>
      </c>
      <c r="AB58" s="95">
        <v>8697100</v>
      </c>
      <c r="AC58" s="10">
        <v>41.58</v>
      </c>
      <c r="AD58" s="2">
        <f t="shared" si="0"/>
        <v>0.68999999999999773</v>
      </c>
      <c r="AE58" s="138">
        <f t="shared" si="1"/>
        <v>1.0449574726610011E-2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47.47</v>
      </c>
      <c r="W59" s="133">
        <v>42671</v>
      </c>
      <c r="X59" s="10">
        <v>41.39</v>
      </c>
      <c r="Y59" s="10">
        <v>41.88</v>
      </c>
      <c r="Z59" s="10">
        <v>41</v>
      </c>
      <c r="AA59" s="10">
        <v>41.34</v>
      </c>
      <c r="AB59" s="95">
        <v>8474700</v>
      </c>
      <c r="AC59" s="10">
        <v>41.15</v>
      </c>
      <c r="AD59" s="2">
        <f t="shared" si="0"/>
        <v>0.88000000000000256</v>
      </c>
      <c r="AE59" s="138">
        <f t="shared" si="1"/>
        <v>-3.1492248062016115E-3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46.965000000000003</v>
      </c>
      <c r="W60" s="133">
        <v>42670</v>
      </c>
      <c r="X60" s="10">
        <v>41.62</v>
      </c>
      <c r="Y60" s="10">
        <v>42.25</v>
      </c>
      <c r="Z60" s="10">
        <v>40.92</v>
      </c>
      <c r="AA60" s="10">
        <v>41.47</v>
      </c>
      <c r="AB60" s="95">
        <v>9546700</v>
      </c>
      <c r="AC60" s="10">
        <v>41.28</v>
      </c>
      <c r="AD60" s="2">
        <f t="shared" si="0"/>
        <v>1.3299999999999983</v>
      </c>
      <c r="AE60" s="138">
        <f t="shared" si="1"/>
        <v>1.6986168405725977E-3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46.46</v>
      </c>
      <c r="W61" s="133">
        <v>42669</v>
      </c>
      <c r="X61" s="10">
        <v>40.15</v>
      </c>
      <c r="Y61" s="10">
        <v>42.41</v>
      </c>
      <c r="Z61" s="10">
        <v>40.049999999999997</v>
      </c>
      <c r="AA61" s="10">
        <v>41.4</v>
      </c>
      <c r="AB61" s="95">
        <v>14175900</v>
      </c>
      <c r="AC61" s="10">
        <v>41.21</v>
      </c>
      <c r="AD61" s="2">
        <f t="shared" si="0"/>
        <v>2.3599999999999994</v>
      </c>
      <c r="AE61" s="138">
        <f t="shared" si="1"/>
        <v>4.631886884446601E-3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45.954999999999998</v>
      </c>
      <c r="W62" s="133">
        <v>42668</v>
      </c>
      <c r="X62" s="10">
        <v>41.2</v>
      </c>
      <c r="Y62" s="10">
        <v>41.89</v>
      </c>
      <c r="Z62" s="10">
        <v>40.950000000000003</v>
      </c>
      <c r="AA62" s="10">
        <v>41.21</v>
      </c>
      <c r="AB62" s="95">
        <v>8696400</v>
      </c>
      <c r="AC62" s="10">
        <v>41.02</v>
      </c>
      <c r="AD62" s="2">
        <f t="shared" si="0"/>
        <v>0.93999999999999773</v>
      </c>
      <c r="AE62" s="138">
        <f t="shared" si="1"/>
        <v>-3.8853812530353915E-3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45.45</v>
      </c>
      <c r="W63" s="133">
        <v>42667</v>
      </c>
      <c r="X63" s="10">
        <v>41.39</v>
      </c>
      <c r="Y63" s="10">
        <v>41.75</v>
      </c>
      <c r="Z63" s="10">
        <v>41.15</v>
      </c>
      <c r="AA63" s="10">
        <v>41.37</v>
      </c>
      <c r="AB63" s="95">
        <v>8714100</v>
      </c>
      <c r="AC63" s="10">
        <v>41.18</v>
      </c>
      <c r="AD63" s="2">
        <f t="shared" si="0"/>
        <v>0.60000000000000142</v>
      </c>
      <c r="AE63" s="138">
        <f t="shared" si="1"/>
        <v>4.8804294777942125E-3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42664</v>
      </c>
      <c r="X64" s="10">
        <v>41.08</v>
      </c>
      <c r="Y64" s="10">
        <v>41.31</v>
      </c>
      <c r="Z64" s="10">
        <v>40.659999999999997</v>
      </c>
      <c r="AA64" s="10">
        <v>41.17</v>
      </c>
      <c r="AB64" s="95">
        <v>9050900</v>
      </c>
      <c r="AC64" s="10">
        <v>40.98</v>
      </c>
      <c r="AD64" s="2">
        <f t="shared" si="0"/>
        <v>0.65000000000000568</v>
      </c>
      <c r="AE64" s="138">
        <f t="shared" si="1"/>
        <v>-7.0268960503999667E-3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42663</v>
      </c>
      <c r="X65" s="10">
        <v>40.82</v>
      </c>
      <c r="Y65" s="10">
        <v>41.54</v>
      </c>
      <c r="Z65" s="10">
        <v>40.729999999999997</v>
      </c>
      <c r="AA65" s="10">
        <v>41.46</v>
      </c>
      <c r="AB65" s="95">
        <v>14613500</v>
      </c>
      <c r="AC65" s="10">
        <v>41.27</v>
      </c>
      <c r="AD65" s="2">
        <f t="shared" si="0"/>
        <v>0.81000000000000227</v>
      </c>
      <c r="AE65" s="138">
        <f t="shared" si="1"/>
        <v>1.3755833947433072E-2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42662</v>
      </c>
      <c r="X66" s="10">
        <v>39.549999999999997</v>
      </c>
      <c r="Y66" s="10">
        <v>40.92</v>
      </c>
      <c r="Z66" s="10">
        <v>39.19</v>
      </c>
      <c r="AA66" s="10">
        <v>40.9</v>
      </c>
      <c r="AB66" s="95">
        <v>13814400</v>
      </c>
      <c r="AC66" s="10">
        <v>40.71</v>
      </c>
      <c r="AD66" s="2">
        <f t="shared" si="0"/>
        <v>1.730000000000004</v>
      </c>
      <c r="AE66" s="138">
        <f t="shared" si="1"/>
        <v>3.6405295315682373E-2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42661</v>
      </c>
      <c r="X67" s="10">
        <v>39.39</v>
      </c>
      <c r="Y67" s="10">
        <v>40.270000000000003</v>
      </c>
      <c r="Z67" s="10">
        <v>39.049999999999997</v>
      </c>
      <c r="AA67" s="10">
        <v>39.46</v>
      </c>
      <c r="AB67" s="95">
        <v>13433800</v>
      </c>
      <c r="AC67" s="10">
        <v>39.28</v>
      </c>
      <c r="AD67" s="2">
        <f>Y67-Z67</f>
        <v>1.220000000000006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42660</v>
      </c>
      <c r="X68" s="10">
        <v>39.74</v>
      </c>
      <c r="Y68" s="10">
        <v>40.49</v>
      </c>
      <c r="Z68" s="10">
        <v>39.26</v>
      </c>
      <c r="AA68" s="10">
        <v>39.35</v>
      </c>
      <c r="AB68" s="95">
        <v>10535100</v>
      </c>
      <c r="AC68" s="10">
        <v>39.17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214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424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42755</v>
      </c>
      <c r="X2" s="10">
        <v>33.42</v>
      </c>
      <c r="Y2" s="10">
        <v>33.57</v>
      </c>
      <c r="Z2" s="10">
        <v>33.159999999999997</v>
      </c>
      <c r="AA2" s="10">
        <v>33.229999999999997</v>
      </c>
      <c r="AB2" s="95">
        <v>8447000</v>
      </c>
      <c r="AC2" s="10">
        <v>33.229999999999997</v>
      </c>
      <c r="AD2" s="2">
        <f>Y2-Z2</f>
        <v>0.41000000000000369</v>
      </c>
      <c r="AE2" s="138">
        <f>AC2/AC3-1</f>
        <v>-7.1706005377950577E-3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42754</v>
      </c>
      <c r="X3" s="10">
        <v>33.979999999999997</v>
      </c>
      <c r="Y3" s="10">
        <v>34.090000000000003</v>
      </c>
      <c r="Z3" s="10">
        <v>33.46</v>
      </c>
      <c r="AA3" s="10">
        <v>33.47</v>
      </c>
      <c r="AB3" s="95">
        <v>7498400</v>
      </c>
      <c r="AC3" s="10">
        <v>33.47</v>
      </c>
      <c r="AD3" s="2">
        <f t="shared" ref="AD3:AD66" si="0">Y3-Z3</f>
        <v>0.63000000000000256</v>
      </c>
      <c r="AE3" s="138">
        <f t="shared" ref="AE3:AE66" si="1">AC3/AC4-1</f>
        <v>-1.8475073313783064E-2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33.229999999999997</v>
      </c>
      <c r="R4" s="505">
        <v>-7.1999999999999998E-3</v>
      </c>
      <c r="W4" s="133">
        <v>42753</v>
      </c>
      <c r="X4" s="10">
        <v>33.9</v>
      </c>
      <c r="Y4" s="10">
        <v>34.200000000000003</v>
      </c>
      <c r="Z4" s="10">
        <v>33.729999999999997</v>
      </c>
      <c r="AA4" s="10">
        <v>34.1</v>
      </c>
      <c r="AB4" s="95">
        <v>9603600</v>
      </c>
      <c r="AC4" s="10">
        <v>34.1</v>
      </c>
      <c r="AD4" s="2">
        <f t="shared" si="0"/>
        <v>0.47000000000000597</v>
      </c>
      <c r="AE4" s="138">
        <f t="shared" si="1"/>
        <v>1.0370370370370363E-2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2658.3999999999996</v>
      </c>
      <c r="W5" s="133">
        <v>42752</v>
      </c>
      <c r="X5" s="10">
        <v>34.049999999999997</v>
      </c>
      <c r="Y5" s="10">
        <v>34.119999999999997</v>
      </c>
      <c r="Z5" s="10">
        <v>33.619999999999997</v>
      </c>
      <c r="AA5" s="10">
        <v>33.75</v>
      </c>
      <c r="AB5" s="95">
        <v>9961500</v>
      </c>
      <c r="AC5" s="10">
        <v>33.75</v>
      </c>
      <c r="AD5" s="2">
        <f t="shared" si="0"/>
        <v>0.5</v>
      </c>
      <c r="AE5" s="138">
        <f t="shared" si="1"/>
        <v>-6.4763026199587959E-3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42748</v>
      </c>
      <c r="X6" s="10">
        <v>34.25</v>
      </c>
      <c r="Y6" s="10">
        <v>34.47</v>
      </c>
      <c r="Z6" s="10">
        <v>33.86</v>
      </c>
      <c r="AA6" s="10">
        <v>33.97</v>
      </c>
      <c r="AB6" s="95">
        <v>12568500</v>
      </c>
      <c r="AC6" s="10">
        <v>33.97</v>
      </c>
      <c r="AD6" s="2">
        <f t="shared" si="0"/>
        <v>0.60999999999999943</v>
      </c>
      <c r="AE6" s="138">
        <f t="shared" si="1"/>
        <v>8.839127872717345E-4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-63.200000000000728</v>
      </c>
      <c r="R7" s="30">
        <v>42779</v>
      </c>
      <c r="W7" s="133">
        <v>42747</v>
      </c>
      <c r="X7" s="10">
        <v>34.270000000000003</v>
      </c>
      <c r="Y7" s="10">
        <v>34.69</v>
      </c>
      <c r="Z7" s="10">
        <v>33.93</v>
      </c>
      <c r="AA7" s="10">
        <v>33.94</v>
      </c>
      <c r="AB7" s="95">
        <v>10696900</v>
      </c>
      <c r="AC7" s="10">
        <v>33.94</v>
      </c>
      <c r="AD7" s="2">
        <f t="shared" si="0"/>
        <v>0.75999999999999801</v>
      </c>
      <c r="AE7" s="138">
        <f t="shared" si="1"/>
        <v>-9.9183197199533835E-3</v>
      </c>
    </row>
    <row r="8" spans="1:41" x14ac:dyDescent="0.25">
      <c r="O8" s="11" t="s">
        <v>185</v>
      </c>
      <c r="P8" s="34"/>
      <c r="Q8" s="2">
        <f>K18+M18-F18+Q2*Q4</f>
        <v>-63.200000000000728</v>
      </c>
      <c r="W8" s="133">
        <v>42746</v>
      </c>
      <c r="X8" s="10">
        <v>35.159999999999997</v>
      </c>
      <c r="Y8" s="10">
        <v>35.49</v>
      </c>
      <c r="Z8" s="10">
        <v>33.56</v>
      </c>
      <c r="AA8" s="10">
        <v>34.28</v>
      </c>
      <c r="AB8" s="95">
        <v>15617900</v>
      </c>
      <c r="AC8" s="10">
        <v>34.28</v>
      </c>
      <c r="AD8" s="2">
        <f t="shared" si="0"/>
        <v>1.9299999999999997</v>
      </c>
      <c r="AE8" s="138">
        <f t="shared" si="1"/>
        <v>-2.6136363636363735E-2</v>
      </c>
    </row>
    <row r="9" spans="1:41" x14ac:dyDescent="0.25">
      <c r="O9" s="11" t="s">
        <v>215</v>
      </c>
      <c r="Q9" s="138">
        <f>IF(Q2=0, 0, Q8/Q6)</f>
        <v>-2.3221634332745707E-2</v>
      </c>
      <c r="W9" s="133">
        <v>42745</v>
      </c>
      <c r="X9" s="10">
        <v>35.049999999999997</v>
      </c>
      <c r="Y9" s="10">
        <v>35.26</v>
      </c>
      <c r="Z9" s="10">
        <v>34.6</v>
      </c>
      <c r="AA9" s="10">
        <v>35.200000000000003</v>
      </c>
      <c r="AB9" s="95">
        <v>11951600</v>
      </c>
      <c r="AC9" s="10">
        <v>35.200000000000003</v>
      </c>
      <c r="AD9" s="2">
        <f t="shared" si="0"/>
        <v>0.65999999999999659</v>
      </c>
      <c r="AE9" s="138">
        <f t="shared" si="1"/>
        <v>3.993154592127901E-3</v>
      </c>
    </row>
    <row r="10" spans="1:41" x14ac:dyDescent="0.25">
      <c r="O10" s="11" t="s">
        <v>214</v>
      </c>
      <c r="P10" s="34"/>
      <c r="Q10" s="2">
        <f>M36</f>
        <v>0</v>
      </c>
      <c r="W10" s="133">
        <v>42744</v>
      </c>
      <c r="X10" s="10">
        <v>35.15</v>
      </c>
      <c r="Y10" s="10">
        <v>35.44</v>
      </c>
      <c r="Z10" s="10">
        <v>34.93</v>
      </c>
      <c r="AA10" s="10">
        <v>35.06</v>
      </c>
      <c r="AB10" s="95">
        <v>11731200</v>
      </c>
      <c r="AC10" s="10">
        <v>35.06</v>
      </c>
      <c r="AD10" s="2">
        <f t="shared" si="0"/>
        <v>0.50999999999999801</v>
      </c>
      <c r="AE10" s="138">
        <f t="shared" si="1"/>
        <v>-1.1396011396010985E-3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4.0899999999999999E-2</v>
      </c>
      <c r="W11" s="133">
        <v>42741</v>
      </c>
      <c r="X11" s="10">
        <v>36.9</v>
      </c>
      <c r="Y11" s="10">
        <v>36.979999999999997</v>
      </c>
      <c r="Z11" s="10">
        <v>35</v>
      </c>
      <c r="AA11" s="10">
        <v>35.1</v>
      </c>
      <c r="AB11" s="95">
        <v>33625300</v>
      </c>
      <c r="AC11" s="10">
        <v>35.1</v>
      </c>
      <c r="AD11" s="2">
        <f t="shared" si="0"/>
        <v>1.9799999999999969</v>
      </c>
      <c r="AE11" s="138">
        <f t="shared" si="1"/>
        <v>-7.5342465753424626E-2</v>
      </c>
    </row>
    <row r="12" spans="1:41" x14ac:dyDescent="0.25">
      <c r="W12" s="133">
        <v>42740</v>
      </c>
      <c r="X12" s="10">
        <v>37.96</v>
      </c>
      <c r="Y12" s="10">
        <v>38.15</v>
      </c>
      <c r="Z12" s="10">
        <v>37.29</v>
      </c>
      <c r="AA12" s="10">
        <v>37.96</v>
      </c>
      <c r="AB12" s="95">
        <v>4924400</v>
      </c>
      <c r="AC12" s="10">
        <v>37.96</v>
      </c>
      <c r="AD12" s="2">
        <f t="shared" si="0"/>
        <v>0.85999999999999943</v>
      </c>
      <c r="AE12" s="138">
        <f t="shared" si="1"/>
        <v>5.8293587705351424E-3</v>
      </c>
    </row>
    <row r="13" spans="1:41" x14ac:dyDescent="0.25">
      <c r="W13" s="133">
        <v>42739</v>
      </c>
      <c r="X13" s="10">
        <v>38.06</v>
      </c>
      <c r="Y13" s="10">
        <v>38.31</v>
      </c>
      <c r="Z13" s="10">
        <v>37.58</v>
      </c>
      <c r="AA13" s="10">
        <v>37.74</v>
      </c>
      <c r="AB13" s="95">
        <v>6620300</v>
      </c>
      <c r="AC13" s="10">
        <v>37.74</v>
      </c>
      <c r="AD13" s="2">
        <f t="shared" si="0"/>
        <v>0.73000000000000398</v>
      </c>
      <c r="AE13" s="138">
        <f t="shared" si="1"/>
        <v>6.9370330843117056E-3</v>
      </c>
    </row>
    <row r="14" spans="1:41" x14ac:dyDescent="0.25">
      <c r="W14" s="133">
        <v>42738</v>
      </c>
      <c r="X14" s="10">
        <v>36.69</v>
      </c>
      <c r="Y14" s="10">
        <v>37.479999999999997</v>
      </c>
      <c r="Z14" s="10">
        <v>36.450000000000003</v>
      </c>
      <c r="AA14" s="10">
        <v>37.479999999999997</v>
      </c>
      <c r="AB14" s="95">
        <v>6928200</v>
      </c>
      <c r="AC14" s="10">
        <v>37.479999999999997</v>
      </c>
      <c r="AD14" s="2">
        <f t="shared" si="0"/>
        <v>1.029999999999994</v>
      </c>
      <c r="AE14" s="138">
        <f t="shared" si="1"/>
        <v>3.3931034482758582E-2</v>
      </c>
    </row>
    <row r="15" spans="1:41" x14ac:dyDescent="0.25">
      <c r="W15" s="133">
        <v>42734</v>
      </c>
      <c r="X15" s="10">
        <v>36</v>
      </c>
      <c r="Y15" s="10">
        <v>36.43</v>
      </c>
      <c r="Z15" s="10">
        <v>35.92</v>
      </c>
      <c r="AA15" s="10">
        <v>36.25</v>
      </c>
      <c r="AB15" s="95">
        <v>4944800</v>
      </c>
      <c r="AC15" s="10">
        <v>36.25</v>
      </c>
      <c r="AD15" s="2">
        <f t="shared" si="0"/>
        <v>0.50999999999999801</v>
      </c>
      <c r="AE15" s="138">
        <f t="shared" si="1"/>
        <v>4.7117516629713307E-3</v>
      </c>
    </row>
    <row r="16" spans="1:41" x14ac:dyDescent="0.25">
      <c r="W16" s="133">
        <v>42733</v>
      </c>
      <c r="X16" s="10">
        <v>35.85</v>
      </c>
      <c r="Y16" s="10">
        <v>36.26</v>
      </c>
      <c r="Z16" s="10">
        <v>35.81</v>
      </c>
      <c r="AA16" s="10">
        <v>36.08</v>
      </c>
      <c r="AB16" s="95">
        <v>3603000</v>
      </c>
      <c r="AC16" s="10">
        <v>36.08</v>
      </c>
      <c r="AD16" s="2">
        <f t="shared" si="0"/>
        <v>0.44999999999999574</v>
      </c>
      <c r="AE16" s="138">
        <f t="shared" si="1"/>
        <v>4.174784302811041E-3</v>
      </c>
    </row>
    <row r="17" spans="1:31" x14ac:dyDescent="0.25">
      <c r="W17" s="133">
        <v>42732</v>
      </c>
      <c r="X17" s="10">
        <v>36.32</v>
      </c>
      <c r="Y17" s="10">
        <v>36.46</v>
      </c>
      <c r="Z17" s="10">
        <v>35.85</v>
      </c>
      <c r="AA17" s="10">
        <v>35.93</v>
      </c>
      <c r="AB17" s="95">
        <v>4648600</v>
      </c>
      <c r="AC17" s="10">
        <v>35.93</v>
      </c>
      <c r="AD17" s="2">
        <f t="shared" si="0"/>
        <v>0.60999999999999943</v>
      </c>
      <c r="AE17" s="138">
        <f t="shared" si="1"/>
        <v>-1.1282333516785981E-2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36.64</v>
      </c>
      <c r="Y18" s="10">
        <v>36.82</v>
      </c>
      <c r="Z18" s="10">
        <v>36.26</v>
      </c>
      <c r="AA18" s="10">
        <v>36.340000000000003</v>
      </c>
      <c r="AB18" s="95">
        <v>4331000</v>
      </c>
      <c r="AC18" s="10">
        <v>36.340000000000003</v>
      </c>
      <c r="AD18" s="2">
        <f t="shared" si="0"/>
        <v>0.56000000000000227</v>
      </c>
      <c r="AE18" s="138">
        <f t="shared" si="1"/>
        <v>-1.30363932645301E-2</v>
      </c>
    </row>
    <row r="19" spans="1:31" x14ac:dyDescent="0.25">
      <c r="G19" s="2"/>
      <c r="W19" s="133">
        <v>42727</v>
      </c>
      <c r="X19" s="10">
        <v>36.909999999999997</v>
      </c>
      <c r="Y19" s="10">
        <v>36.950000000000003</v>
      </c>
      <c r="Z19" s="10">
        <v>36.46</v>
      </c>
      <c r="AA19" s="10">
        <v>36.82</v>
      </c>
      <c r="AB19" s="95">
        <v>2811500</v>
      </c>
      <c r="AC19" s="10">
        <v>36.82</v>
      </c>
      <c r="AD19" s="2">
        <f t="shared" si="0"/>
        <v>0.49000000000000199</v>
      </c>
      <c r="AE19" s="138">
        <f t="shared" si="1"/>
        <v>-2.4383635871036979E-3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36.49</v>
      </c>
      <c r="Y20" s="10">
        <v>37.39</v>
      </c>
      <c r="Z20" s="10">
        <v>36.35</v>
      </c>
      <c r="AA20" s="10">
        <v>36.909999999999997</v>
      </c>
      <c r="AB20" s="95">
        <v>5831000</v>
      </c>
      <c r="AC20" s="10">
        <v>36.909999999999997</v>
      </c>
      <c r="AD20" s="2">
        <f t="shared" si="0"/>
        <v>1.0399999999999991</v>
      </c>
      <c r="AE20" s="138">
        <f t="shared" si="1"/>
        <v>1.4847401704701557E-2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42725</v>
      </c>
      <c r="X21" s="10">
        <v>36.25</v>
      </c>
      <c r="Y21" s="10">
        <v>36.479999999999997</v>
      </c>
      <c r="Z21" s="10">
        <v>36.03</v>
      </c>
      <c r="AA21" s="10">
        <v>36.369999999999997</v>
      </c>
      <c r="AB21" s="95">
        <v>3547500</v>
      </c>
      <c r="AC21" s="10">
        <v>36.369999999999997</v>
      </c>
      <c r="AD21" s="2">
        <f t="shared" si="0"/>
        <v>0.44999999999999574</v>
      </c>
      <c r="AE21" s="138">
        <f t="shared" si="1"/>
        <v>3.3103448275861869E-3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36.630000000000003</v>
      </c>
      <c r="Y22" s="10">
        <v>36.78</v>
      </c>
      <c r="Z22" s="10">
        <v>36.03</v>
      </c>
      <c r="AA22" s="10">
        <v>36.25</v>
      </c>
      <c r="AB22" s="95">
        <v>4660700</v>
      </c>
      <c r="AC22" s="10">
        <v>36.25</v>
      </c>
      <c r="AD22" s="2">
        <f t="shared" si="0"/>
        <v>0.75</v>
      </c>
      <c r="AE22" s="138">
        <f t="shared" si="1"/>
        <v>-8.7503418102269359E-3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36.479999999999997</v>
      </c>
      <c r="Y23" s="10">
        <v>36.869999999999997</v>
      </c>
      <c r="Z23" s="10">
        <v>36.4</v>
      </c>
      <c r="AA23" s="10">
        <v>36.57</v>
      </c>
      <c r="AB23" s="95">
        <v>5099900</v>
      </c>
      <c r="AC23" s="10">
        <v>36.57</v>
      </c>
      <c r="AD23" s="2">
        <f t="shared" si="0"/>
        <v>0.46999999999999886</v>
      </c>
      <c r="AE23" s="138">
        <f t="shared" si="1"/>
        <v>1.6433853738702098E-3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36.96</v>
      </c>
      <c r="Y24" s="10">
        <v>36.979999999999997</v>
      </c>
      <c r="Z24" s="10">
        <v>36.299999999999997</v>
      </c>
      <c r="AA24" s="10">
        <v>36.51</v>
      </c>
      <c r="AB24" s="95">
        <v>5484900</v>
      </c>
      <c r="AC24" s="10">
        <v>36.51</v>
      </c>
      <c r="AD24" s="2">
        <f t="shared" si="0"/>
        <v>0.67999999999999972</v>
      </c>
      <c r="AE24" s="138">
        <f t="shared" si="1"/>
        <v>-5.9896542335964309E-3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36.78</v>
      </c>
      <c r="Y25" s="10">
        <v>37.56</v>
      </c>
      <c r="Z25" s="10">
        <v>36.42</v>
      </c>
      <c r="AA25" s="10">
        <v>36.729999999999997</v>
      </c>
      <c r="AB25" s="95">
        <v>6690000</v>
      </c>
      <c r="AC25" s="10">
        <v>36.729999999999997</v>
      </c>
      <c r="AD25" s="2">
        <f t="shared" si="0"/>
        <v>1.1400000000000006</v>
      </c>
      <c r="AE25" s="138">
        <f t="shared" si="1"/>
        <v>-7.2972972972973338E-3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37.299999999999997</v>
      </c>
      <c r="Y26" s="10">
        <v>37.51</v>
      </c>
      <c r="Z26" s="10">
        <v>36.54</v>
      </c>
      <c r="AA26" s="10">
        <v>37</v>
      </c>
      <c r="AB26" s="95">
        <v>10607000</v>
      </c>
      <c r="AC26" s="10">
        <v>37</v>
      </c>
      <c r="AD26" s="2">
        <f t="shared" si="0"/>
        <v>0.96999999999999886</v>
      </c>
      <c r="AE26" s="138">
        <f t="shared" si="1"/>
        <v>-1.7525225703664327E-2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37.58</v>
      </c>
      <c r="Y27" s="10">
        <v>37.79</v>
      </c>
      <c r="Z27" s="10">
        <v>37.39</v>
      </c>
      <c r="AA27" s="10">
        <v>37.659999999999997</v>
      </c>
      <c r="AB27" s="95">
        <v>6731900</v>
      </c>
      <c r="AC27" s="10">
        <v>37.659999999999997</v>
      </c>
      <c r="AD27" s="2">
        <f t="shared" si="0"/>
        <v>0.39999999999999858</v>
      </c>
      <c r="AE27" s="138">
        <f t="shared" si="1"/>
        <v>1.1006711409395908E-2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36.369999999999997</v>
      </c>
      <c r="Y28" s="10">
        <v>37.69</v>
      </c>
      <c r="Z28" s="10">
        <v>36.36</v>
      </c>
      <c r="AA28" s="10">
        <v>37.25</v>
      </c>
      <c r="AB28" s="95">
        <v>8787700</v>
      </c>
      <c r="AC28" s="10">
        <v>37.25</v>
      </c>
      <c r="AD28" s="2">
        <f t="shared" si="0"/>
        <v>1.3299999999999983</v>
      </c>
      <c r="AE28" s="138">
        <f t="shared" si="1"/>
        <v>2.6170798898071723E-2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36.22</v>
      </c>
      <c r="Y29" s="10">
        <v>36.86</v>
      </c>
      <c r="Z29" s="10">
        <v>36.15</v>
      </c>
      <c r="AA29" s="10">
        <v>36.299999999999997</v>
      </c>
      <c r="AB29" s="95">
        <v>7684400</v>
      </c>
      <c r="AC29" s="10">
        <v>36.299999999999997</v>
      </c>
      <c r="AD29" s="2">
        <f t="shared" si="0"/>
        <v>0.71000000000000085</v>
      </c>
      <c r="AE29" s="138">
        <f t="shared" si="1"/>
        <v>1.0860484544695126E-2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35.4</v>
      </c>
      <c r="Y30" s="10">
        <v>36.479999999999997</v>
      </c>
      <c r="Z30" s="10">
        <v>35.22</v>
      </c>
      <c r="AA30" s="10">
        <v>35.909999999999997</v>
      </c>
      <c r="AB30" s="95">
        <v>11317000</v>
      </c>
      <c r="AC30" s="10">
        <v>35.909999999999997</v>
      </c>
      <c r="AD30" s="2">
        <f t="shared" si="0"/>
        <v>1.259999999999998</v>
      </c>
      <c r="AE30" s="138">
        <f t="shared" si="1"/>
        <v>1.814573291749344E-2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35.29</v>
      </c>
      <c r="Y31" s="10">
        <v>35.32</v>
      </c>
      <c r="Z31" s="10">
        <v>34.619999999999997</v>
      </c>
      <c r="AA31" s="10">
        <v>35.270000000000003</v>
      </c>
      <c r="AB31" s="95">
        <v>10381600</v>
      </c>
      <c r="AC31" s="10">
        <v>35.270000000000003</v>
      </c>
      <c r="AD31" s="2">
        <f t="shared" si="0"/>
        <v>0.70000000000000284</v>
      </c>
      <c r="AE31" s="138">
        <f t="shared" si="1"/>
        <v>6.8512703397087815E-3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35.33</v>
      </c>
      <c r="Y32" s="10">
        <v>35.950000000000003</v>
      </c>
      <c r="Z32" s="10">
        <v>34.57</v>
      </c>
      <c r="AA32" s="10">
        <v>35.03</v>
      </c>
      <c r="AB32" s="95">
        <v>30537900</v>
      </c>
      <c r="AC32" s="10">
        <v>35.03</v>
      </c>
      <c r="AD32" s="2">
        <f t="shared" si="0"/>
        <v>1.3800000000000026</v>
      </c>
      <c r="AE32" s="138">
        <f t="shared" si="1"/>
        <v>-5.4265658747300161E-2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36.65</v>
      </c>
      <c r="Y33" s="10">
        <v>37.18</v>
      </c>
      <c r="Z33" s="10">
        <v>36.4</v>
      </c>
      <c r="AA33" s="10">
        <v>37.04</v>
      </c>
      <c r="AB33" s="95">
        <v>6424400</v>
      </c>
      <c r="AC33" s="10">
        <v>37.04</v>
      </c>
      <c r="AD33" s="2">
        <f t="shared" si="0"/>
        <v>0.78000000000000114</v>
      </c>
      <c r="AE33" s="138">
        <f t="shared" si="1"/>
        <v>1.396112784013126E-2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36.700000000000003</v>
      </c>
      <c r="Y34" s="10">
        <v>37.11</v>
      </c>
      <c r="Z34" s="10">
        <v>36.409999999999997</v>
      </c>
      <c r="AA34" s="10">
        <v>36.53</v>
      </c>
      <c r="AB34" s="95">
        <v>6915900</v>
      </c>
      <c r="AC34" s="10">
        <v>36.53</v>
      </c>
      <c r="AD34" s="2">
        <f t="shared" si="0"/>
        <v>0.70000000000000284</v>
      </c>
      <c r="AE34" s="138">
        <f t="shared" si="1"/>
        <v>-1.0937927262782976E-3</v>
      </c>
    </row>
    <row r="35" spans="1:31" x14ac:dyDescent="0.25">
      <c r="W35" s="133">
        <v>42705</v>
      </c>
      <c r="X35" s="10">
        <v>37.4</v>
      </c>
      <c r="Y35" s="10">
        <v>37.68</v>
      </c>
      <c r="Z35" s="10">
        <v>36.56</v>
      </c>
      <c r="AA35" s="10">
        <v>36.57</v>
      </c>
      <c r="AB35" s="95">
        <v>6557800</v>
      </c>
      <c r="AC35" s="10">
        <v>36.57</v>
      </c>
      <c r="AD35" s="2">
        <f t="shared" si="0"/>
        <v>1.1199999999999974</v>
      </c>
      <c r="AE35" s="138" t="e">
        <f t="shared" si="1"/>
        <v>#DIV/0!</v>
      </c>
    </row>
    <row r="36" spans="1:31" x14ac:dyDescent="0.25">
      <c r="L36" t="s">
        <v>216</v>
      </c>
      <c r="M36" s="2">
        <f>M50+K50-F50</f>
        <v>0</v>
      </c>
      <c r="W36" s="133">
        <v>42705</v>
      </c>
      <c r="X36" s="10" t="s">
        <v>425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42704</v>
      </c>
      <c r="X37" s="10">
        <v>37.79</v>
      </c>
      <c r="Y37" s="10">
        <v>38.380000000000003</v>
      </c>
      <c r="Z37" s="10">
        <v>37.4</v>
      </c>
      <c r="AA37" s="10">
        <v>37.700000000000003</v>
      </c>
      <c r="AB37" s="95">
        <v>10812600</v>
      </c>
      <c r="AC37" s="10">
        <v>37.36</v>
      </c>
      <c r="AD37" s="2">
        <f t="shared" si="0"/>
        <v>0.98000000000000398</v>
      </c>
      <c r="AE37" s="138">
        <f t="shared" si="1"/>
        <v>-4.2643923240939241E-3</v>
      </c>
    </row>
    <row r="38" spans="1:31" x14ac:dyDescent="0.25">
      <c r="A38" s="390" t="s">
        <v>424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42703</v>
      </c>
      <c r="X38" s="10">
        <v>38.17</v>
      </c>
      <c r="Y38" s="10">
        <v>38.49</v>
      </c>
      <c r="Z38" s="10">
        <v>37.71</v>
      </c>
      <c r="AA38" s="10">
        <v>37.86</v>
      </c>
      <c r="AB38" s="95">
        <v>5516900</v>
      </c>
      <c r="AC38" s="10">
        <v>37.520000000000003</v>
      </c>
      <c r="AD38" s="2">
        <f t="shared" si="0"/>
        <v>0.78000000000000114</v>
      </c>
      <c r="AE38" s="138">
        <f t="shared" si="1"/>
        <v>-7.6699285903200076E-3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42702</v>
      </c>
      <c r="X39" s="10">
        <v>38.159999999999997</v>
      </c>
      <c r="Y39" s="10">
        <v>38.4</v>
      </c>
      <c r="Z39" s="10">
        <v>38.04</v>
      </c>
      <c r="AA39" s="10">
        <v>38.15</v>
      </c>
      <c r="AB39" s="95">
        <v>4883100</v>
      </c>
      <c r="AC39" s="10">
        <v>37.81</v>
      </c>
      <c r="AD39" s="2">
        <f t="shared" si="0"/>
        <v>0.35999999999999943</v>
      </c>
      <c r="AE39" s="138">
        <f t="shared" si="1"/>
        <v>-1.5843675732768459E-3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42699</v>
      </c>
      <c r="X40" s="10">
        <v>38.200000000000003</v>
      </c>
      <c r="Y40" s="10">
        <v>38.479999999999997</v>
      </c>
      <c r="Z40" s="10">
        <v>38.01</v>
      </c>
      <c r="AA40" s="10">
        <v>38.21</v>
      </c>
      <c r="AB40" s="95">
        <v>2320800</v>
      </c>
      <c r="AC40" s="10">
        <v>37.869999999999997</v>
      </c>
      <c r="AD40" s="2">
        <f t="shared" si="0"/>
        <v>0.46999999999999886</v>
      </c>
      <c r="AE40" s="138">
        <f t="shared" si="1"/>
        <v>2.6476039184537559E-3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37.479999999999997</v>
      </c>
      <c r="Y41" s="10">
        <v>38.11</v>
      </c>
      <c r="Z41" s="10">
        <v>37.119999999999997</v>
      </c>
      <c r="AA41" s="10">
        <v>38.11</v>
      </c>
      <c r="AB41" s="95">
        <v>6554900</v>
      </c>
      <c r="AC41" s="10">
        <v>37.770000000000003</v>
      </c>
      <c r="AD41" s="2">
        <f t="shared" si="0"/>
        <v>0.99000000000000199</v>
      </c>
      <c r="AE41" s="138">
        <f t="shared" si="1"/>
        <v>7.4686583088823255E-3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42696</v>
      </c>
      <c r="X42" s="10">
        <v>38.5</v>
      </c>
      <c r="Y42" s="10">
        <v>38.69</v>
      </c>
      <c r="Z42" s="10">
        <v>37.56</v>
      </c>
      <c r="AA42" s="10">
        <v>37.83</v>
      </c>
      <c r="AB42" s="95">
        <v>10562800</v>
      </c>
      <c r="AC42" s="10">
        <v>37.49</v>
      </c>
      <c r="AD42" s="2">
        <f t="shared" si="0"/>
        <v>1.1299999999999955</v>
      </c>
      <c r="AE42" s="138">
        <f t="shared" si="1"/>
        <v>-2.496749024707412E-2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36.552999999999997</v>
      </c>
      <c r="Q43" s="34"/>
      <c r="R43" s="34"/>
      <c r="T43" s="128" t="s">
        <v>98</v>
      </c>
      <c r="U43" s="98">
        <v>33.47</v>
      </c>
      <c r="W43" s="133">
        <v>42695</v>
      </c>
      <c r="X43" s="10">
        <v>38.68</v>
      </c>
      <c r="Y43" s="10">
        <v>38.89</v>
      </c>
      <c r="Z43" s="10">
        <v>38.46</v>
      </c>
      <c r="AA43" s="10">
        <v>38.799999999999997</v>
      </c>
      <c r="AB43" s="95">
        <v>6112300</v>
      </c>
      <c r="AC43" s="10">
        <v>38.450000000000003</v>
      </c>
      <c r="AD43" s="2">
        <f t="shared" si="0"/>
        <v>0.42999999999999972</v>
      </c>
      <c r="AE43" s="138">
        <f t="shared" si="1"/>
        <v>6.2810782517666031E-3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36.220700000000001</v>
      </c>
      <c r="Q44" s="34"/>
      <c r="R44" s="34"/>
      <c r="T44" s="93" t="s">
        <v>99</v>
      </c>
      <c r="U44" s="88">
        <v>33.42</v>
      </c>
      <c r="W44" s="133">
        <v>42692</v>
      </c>
      <c r="X44" s="10">
        <v>39</v>
      </c>
      <c r="Y44" s="10">
        <v>39.08</v>
      </c>
      <c r="Z44" s="10">
        <v>38.5</v>
      </c>
      <c r="AA44" s="10">
        <v>38.56</v>
      </c>
      <c r="AB44" s="95">
        <v>6477100</v>
      </c>
      <c r="AC44" s="10">
        <v>38.21</v>
      </c>
      <c r="AD44" s="2">
        <f t="shared" si="0"/>
        <v>0.57999999999999829</v>
      </c>
      <c r="AE44" s="138">
        <f t="shared" si="1"/>
        <v>-8.5625324338349795E-3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35.888399999999997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38.26</v>
      </c>
      <c r="Y45" s="10">
        <v>39.409999999999997</v>
      </c>
      <c r="Z45" s="10">
        <v>38.01</v>
      </c>
      <c r="AA45" s="10">
        <v>38.89</v>
      </c>
      <c r="AB45" s="95">
        <v>9721600</v>
      </c>
      <c r="AC45" s="10">
        <v>38.54</v>
      </c>
      <c r="AD45" s="2">
        <f t="shared" si="0"/>
        <v>1.3999999999999986</v>
      </c>
      <c r="AE45" s="138">
        <f t="shared" si="1"/>
        <v>2.1468327590776548E-2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35.556100000000001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37.78</v>
      </c>
      <c r="Y46" s="10">
        <v>38.49</v>
      </c>
      <c r="Z46" s="10">
        <v>37.4</v>
      </c>
      <c r="AA46" s="10">
        <v>38.07</v>
      </c>
      <c r="AB46" s="95">
        <v>18397000</v>
      </c>
      <c r="AC46" s="10">
        <v>37.729999999999997</v>
      </c>
      <c r="AD46" s="2">
        <f t="shared" si="0"/>
        <v>1.0900000000000034</v>
      </c>
      <c r="AE46" s="138">
        <f t="shared" si="1"/>
        <v>1.2614063338701076E-2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35.223799999999997</v>
      </c>
      <c r="Q47" s="83"/>
      <c r="R47" s="34"/>
      <c r="T47" s="93" t="s">
        <v>102</v>
      </c>
      <c r="U47" s="88">
        <v>44.87</v>
      </c>
      <c r="W47" s="133">
        <v>42689</v>
      </c>
      <c r="X47" s="10">
        <v>39.479999999999997</v>
      </c>
      <c r="Y47" s="10">
        <v>39.5</v>
      </c>
      <c r="Z47" s="10">
        <v>37.25</v>
      </c>
      <c r="AA47" s="10">
        <v>37.6</v>
      </c>
      <c r="AB47" s="95">
        <v>27149300</v>
      </c>
      <c r="AC47" s="10">
        <v>37.26</v>
      </c>
      <c r="AD47" s="2">
        <f t="shared" si="0"/>
        <v>2.25</v>
      </c>
      <c r="AE47" s="138">
        <f t="shared" si="1"/>
        <v>-8.3620265617314282E-2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34.891500000000001</v>
      </c>
      <c r="Q48" s="83"/>
      <c r="R48" s="34"/>
      <c r="T48" s="93" t="s">
        <v>103</v>
      </c>
      <c r="U48" s="88">
        <v>0.474466</v>
      </c>
      <c r="W48" s="133">
        <v>42688</v>
      </c>
      <c r="X48" s="10">
        <v>40.22</v>
      </c>
      <c r="Y48" s="10">
        <v>41.19</v>
      </c>
      <c r="Z48" s="10">
        <v>39.92</v>
      </c>
      <c r="AA48" s="10">
        <v>41.03</v>
      </c>
      <c r="AB48" s="95">
        <v>11175900</v>
      </c>
      <c r="AC48" s="10">
        <v>40.659999999999997</v>
      </c>
      <c r="AD48" s="2">
        <f t="shared" si="0"/>
        <v>1.269999999999996</v>
      </c>
      <c r="AE48" s="138">
        <f t="shared" si="1"/>
        <v>9.4339622641508303E-3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34.559199999999997</v>
      </c>
      <c r="Q49" s="83"/>
      <c r="R49" s="34"/>
      <c r="T49" s="93" t="s">
        <v>104</v>
      </c>
      <c r="U49" s="88" t="s">
        <v>129</v>
      </c>
      <c r="W49" s="133">
        <v>42685</v>
      </c>
      <c r="X49" s="10">
        <v>40.380000000000003</v>
      </c>
      <c r="Y49" s="10">
        <v>40.799999999999997</v>
      </c>
      <c r="Z49" s="10">
        <v>39.590000000000003</v>
      </c>
      <c r="AA49" s="10">
        <v>40.65</v>
      </c>
      <c r="AB49" s="95">
        <v>5830200</v>
      </c>
      <c r="AC49" s="10">
        <v>40.28</v>
      </c>
      <c r="AD49" s="2">
        <f t="shared" si="0"/>
        <v>1.2099999999999937</v>
      </c>
      <c r="AE49" s="138">
        <f t="shared" si="1"/>
        <v>1.4609571788413156E-2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34.226900000000001</v>
      </c>
      <c r="Q50" s="83"/>
      <c r="R50" s="34"/>
      <c r="T50" s="93"/>
      <c r="U50" s="88"/>
      <c r="W50" s="133">
        <v>42684</v>
      </c>
      <c r="X50" s="10">
        <v>40.54</v>
      </c>
      <c r="Y50" s="10">
        <v>41.63</v>
      </c>
      <c r="Z50" s="10">
        <v>40.020000000000003</v>
      </c>
      <c r="AA50" s="10">
        <v>40.06</v>
      </c>
      <c r="AB50" s="95">
        <v>12173500</v>
      </c>
      <c r="AC50" s="10">
        <v>39.700000000000003</v>
      </c>
      <c r="AD50" s="2">
        <f t="shared" si="0"/>
        <v>1.6099999999999994</v>
      </c>
      <c r="AE50" s="138">
        <f t="shared" si="1"/>
        <v>2.2721534965919332E-3</v>
      </c>
    </row>
    <row r="51" spans="1:31" x14ac:dyDescent="0.25">
      <c r="G51" s="2"/>
      <c r="O51" s="83">
        <v>1.02</v>
      </c>
      <c r="P51" s="83">
        <f t="shared" si="2"/>
        <v>33.894599999999997</v>
      </c>
      <c r="Q51" s="83"/>
      <c r="R51" s="34"/>
      <c r="T51" s="93" t="s">
        <v>105</v>
      </c>
      <c r="U51" s="88" t="s">
        <v>578</v>
      </c>
      <c r="W51" s="133">
        <v>42683</v>
      </c>
      <c r="X51" s="10">
        <v>42.49</v>
      </c>
      <c r="Y51" s="10">
        <v>42.9</v>
      </c>
      <c r="Z51" s="10">
        <v>39.69</v>
      </c>
      <c r="AA51" s="10">
        <v>39.97</v>
      </c>
      <c r="AB51" s="95">
        <v>30730100</v>
      </c>
      <c r="AC51" s="10">
        <v>39.61</v>
      </c>
      <c r="AD51" s="2">
        <f t="shared" si="0"/>
        <v>3.2100000000000009</v>
      </c>
      <c r="AE51" s="138">
        <f t="shared" si="1"/>
        <v>3.0973451327433565E-2</v>
      </c>
    </row>
    <row r="52" spans="1:31" x14ac:dyDescent="0.25">
      <c r="O52" s="83">
        <v>1.01</v>
      </c>
      <c r="P52" s="83">
        <f t="shared" si="2"/>
        <v>33.5623</v>
      </c>
      <c r="Q52" s="83"/>
      <c r="R52" s="34"/>
      <c r="T52" s="93" t="s">
        <v>106</v>
      </c>
      <c r="U52" s="88" t="s">
        <v>579</v>
      </c>
      <c r="W52" s="133">
        <v>42682</v>
      </c>
      <c r="X52" s="10">
        <v>39.450000000000003</v>
      </c>
      <c r="Y52" s="10">
        <v>39.65</v>
      </c>
      <c r="Z52" s="10">
        <v>38.6</v>
      </c>
      <c r="AA52" s="10">
        <v>38.770000000000003</v>
      </c>
      <c r="AB52" s="95">
        <v>14442200</v>
      </c>
      <c r="AC52" s="10">
        <v>38.42</v>
      </c>
      <c r="AD52" s="2">
        <f t="shared" si="0"/>
        <v>1.0499999999999972</v>
      </c>
      <c r="AE52" s="138">
        <f t="shared" si="1"/>
        <v>-4.9245236327641551E-2</v>
      </c>
    </row>
    <row r="53" spans="1:31" x14ac:dyDescent="0.25">
      <c r="O53" s="83">
        <v>1</v>
      </c>
      <c r="P53" s="83">
        <f t="shared" si="2"/>
        <v>33.229999999999997</v>
      </c>
      <c r="Q53" s="83"/>
      <c r="R53" s="34"/>
      <c r="T53" s="93" t="s">
        <v>107</v>
      </c>
      <c r="U53" s="90">
        <v>8444310</v>
      </c>
      <c r="W53" s="133">
        <v>42681</v>
      </c>
      <c r="X53" s="10">
        <v>40.5</v>
      </c>
      <c r="Y53" s="10">
        <v>40.950000000000003</v>
      </c>
      <c r="Z53" s="10">
        <v>40.11</v>
      </c>
      <c r="AA53" s="10">
        <v>40.78</v>
      </c>
      <c r="AB53" s="95">
        <v>8565100</v>
      </c>
      <c r="AC53" s="10">
        <v>40.409999999999997</v>
      </c>
      <c r="AD53" s="2">
        <f t="shared" si="0"/>
        <v>0.84000000000000341</v>
      </c>
      <c r="AE53" s="138">
        <f t="shared" si="1"/>
        <v>1.3289869608826388E-2</v>
      </c>
    </row>
    <row r="54" spans="1:31" x14ac:dyDescent="0.25">
      <c r="O54" s="83">
        <v>0.99</v>
      </c>
      <c r="P54" s="83">
        <f t="shared" si="2"/>
        <v>32.897699999999993</v>
      </c>
      <c r="Q54" s="83"/>
      <c r="R54" s="34"/>
      <c r="T54" s="93" t="s">
        <v>110</v>
      </c>
      <c r="U54" s="90">
        <v>10339000</v>
      </c>
      <c r="W54" s="133">
        <v>42678</v>
      </c>
      <c r="X54" s="10">
        <v>39.76</v>
      </c>
      <c r="Y54" s="10">
        <v>40.78</v>
      </c>
      <c r="Z54" s="10">
        <v>39.200000000000003</v>
      </c>
      <c r="AA54" s="10">
        <v>40.24</v>
      </c>
      <c r="AB54" s="95">
        <v>16322700</v>
      </c>
      <c r="AC54" s="10">
        <v>39.880000000000003</v>
      </c>
      <c r="AD54" s="2">
        <f t="shared" si="0"/>
        <v>1.5799999999999983</v>
      </c>
      <c r="AE54" s="138">
        <f t="shared" si="1"/>
        <v>2.6512226512226622E-2</v>
      </c>
    </row>
    <row r="55" spans="1:31" x14ac:dyDescent="0.25">
      <c r="O55" s="83">
        <v>0.98</v>
      </c>
      <c r="P55" s="83">
        <f t="shared" si="2"/>
        <v>32.565399999999997</v>
      </c>
      <c r="Q55" s="83"/>
      <c r="T55" s="93" t="s">
        <v>108</v>
      </c>
      <c r="U55" s="88" t="s">
        <v>580</v>
      </c>
      <c r="W55" s="133">
        <v>42677</v>
      </c>
      <c r="X55" s="10">
        <v>43.34</v>
      </c>
      <c r="Y55" s="10">
        <v>43.46</v>
      </c>
      <c r="Z55" s="10">
        <v>37.82</v>
      </c>
      <c r="AA55" s="10">
        <v>39.200000000000003</v>
      </c>
      <c r="AB55" s="95">
        <v>40938000</v>
      </c>
      <c r="AC55" s="10">
        <v>38.85</v>
      </c>
      <c r="AD55" s="2">
        <f t="shared" si="0"/>
        <v>5.6400000000000006</v>
      </c>
      <c r="AE55" s="138">
        <f t="shared" si="1"/>
        <v>-9.5249184909175555E-2</v>
      </c>
    </row>
    <row r="56" spans="1:31" x14ac:dyDescent="0.25">
      <c r="O56" s="83">
        <v>0.97</v>
      </c>
      <c r="P56" s="83">
        <f t="shared" si="2"/>
        <v>32.233099999999993</v>
      </c>
      <c r="Q56" s="83"/>
      <c r="T56" s="93" t="s">
        <v>111</v>
      </c>
      <c r="U56" s="88">
        <v>19.329999999999998</v>
      </c>
      <c r="W56" s="133">
        <v>42676</v>
      </c>
      <c r="X56" s="10">
        <v>43.15</v>
      </c>
      <c r="Y56" s="10">
        <v>44.13</v>
      </c>
      <c r="Z56" s="10">
        <v>43.08</v>
      </c>
      <c r="AA56" s="10">
        <v>43.33</v>
      </c>
      <c r="AB56" s="95">
        <v>7977500</v>
      </c>
      <c r="AC56" s="10">
        <v>42.94</v>
      </c>
      <c r="AD56" s="2">
        <f t="shared" si="0"/>
        <v>1.0500000000000043</v>
      </c>
      <c r="AE56" s="138">
        <f t="shared" si="1"/>
        <v>4.9145799204306506E-3</v>
      </c>
    </row>
    <row r="57" spans="1:31" x14ac:dyDescent="0.25">
      <c r="O57" s="83">
        <v>0.96</v>
      </c>
      <c r="P57" s="83">
        <f t="shared" si="2"/>
        <v>31.900799999999997</v>
      </c>
      <c r="Q57" s="83"/>
      <c r="T57" s="93" t="s">
        <v>112</v>
      </c>
      <c r="U57" s="88">
        <v>1.72</v>
      </c>
      <c r="W57" s="133">
        <v>42675</v>
      </c>
      <c r="X57" s="10">
        <v>42.7</v>
      </c>
      <c r="Y57" s="10">
        <v>43.55</v>
      </c>
      <c r="Z57" s="10">
        <v>42.55</v>
      </c>
      <c r="AA57" s="10">
        <v>43.12</v>
      </c>
      <c r="AB57" s="95">
        <v>7778000</v>
      </c>
      <c r="AC57" s="10">
        <v>42.73</v>
      </c>
      <c r="AD57" s="2">
        <f t="shared" si="0"/>
        <v>1</v>
      </c>
      <c r="AE57" s="138">
        <f t="shared" si="1"/>
        <v>8.9728453364816829E-3</v>
      </c>
    </row>
    <row r="58" spans="1:31" x14ac:dyDescent="0.25">
      <c r="O58" s="83">
        <v>0.95</v>
      </c>
      <c r="P58" s="83">
        <f t="shared" si="2"/>
        <v>31.568499999999997</v>
      </c>
      <c r="Q58" s="83"/>
      <c r="T58" s="93" t="s">
        <v>109</v>
      </c>
      <c r="U58" s="88" t="s">
        <v>649</v>
      </c>
      <c r="W58" s="133">
        <v>42674</v>
      </c>
      <c r="X58" s="10">
        <v>41.94</v>
      </c>
      <c r="Y58" s="10">
        <v>42.76</v>
      </c>
      <c r="Z58" s="10">
        <v>41.75</v>
      </c>
      <c r="AA58" s="10">
        <v>42.74</v>
      </c>
      <c r="AB58" s="95">
        <v>27345500</v>
      </c>
      <c r="AC58" s="10">
        <v>42.35</v>
      </c>
      <c r="AD58" s="2">
        <f t="shared" si="0"/>
        <v>1.009999999999998</v>
      </c>
      <c r="AE58" s="138">
        <f t="shared" si="1"/>
        <v>9.775870290891886E-3</v>
      </c>
    </row>
    <row r="59" spans="1:31" x14ac:dyDescent="0.25">
      <c r="O59" s="83">
        <v>0.94</v>
      </c>
      <c r="P59" s="83">
        <f t="shared" si="2"/>
        <v>31.236199999999997</v>
      </c>
      <c r="Q59" s="83"/>
      <c r="W59" s="133">
        <v>42671</v>
      </c>
      <c r="X59" s="10">
        <v>43</v>
      </c>
      <c r="Y59" s="10">
        <v>43.1</v>
      </c>
      <c r="Z59" s="10">
        <v>42.11</v>
      </c>
      <c r="AA59" s="10">
        <v>42.32</v>
      </c>
      <c r="AB59" s="95">
        <v>6195100</v>
      </c>
      <c r="AC59" s="10">
        <v>41.94</v>
      </c>
      <c r="AD59" s="2">
        <f t="shared" si="0"/>
        <v>0.99000000000000199</v>
      </c>
      <c r="AE59" s="138">
        <f t="shared" si="1"/>
        <v>-1.9176800748362921E-2</v>
      </c>
    </row>
    <row r="60" spans="1:31" x14ac:dyDescent="0.25">
      <c r="O60" s="83">
        <v>0.93</v>
      </c>
      <c r="P60" s="83">
        <f t="shared" si="2"/>
        <v>30.9039</v>
      </c>
      <c r="Q60" s="83"/>
      <c r="W60" s="133">
        <v>42670</v>
      </c>
      <c r="X60" s="10">
        <v>43.73</v>
      </c>
      <c r="Y60" s="10">
        <v>43.81</v>
      </c>
      <c r="Z60" s="10">
        <v>43.03</v>
      </c>
      <c r="AA60" s="10">
        <v>43.15</v>
      </c>
      <c r="AB60" s="95">
        <v>4736800</v>
      </c>
      <c r="AC60" s="10">
        <v>42.76</v>
      </c>
      <c r="AD60" s="2">
        <f t="shared" si="0"/>
        <v>0.78000000000000114</v>
      </c>
      <c r="AE60" s="138">
        <f t="shared" si="1"/>
        <v>-4.8871305562020462E-3</v>
      </c>
    </row>
    <row r="61" spans="1:31" x14ac:dyDescent="0.25">
      <c r="O61" s="83">
        <v>0.92</v>
      </c>
      <c r="P61" s="83">
        <f t="shared" si="2"/>
        <v>30.5716</v>
      </c>
      <c r="Q61" s="83"/>
      <c r="W61" s="133">
        <v>42669</v>
      </c>
      <c r="X61" s="10">
        <v>43.76</v>
      </c>
      <c r="Y61" s="10">
        <v>44.26</v>
      </c>
      <c r="Z61" s="10">
        <v>43.27</v>
      </c>
      <c r="AA61" s="10">
        <v>43.36</v>
      </c>
      <c r="AB61" s="95">
        <v>3594200</v>
      </c>
      <c r="AC61" s="10">
        <v>42.97</v>
      </c>
      <c r="AD61" s="2">
        <f t="shared" si="0"/>
        <v>0.98999999999999488</v>
      </c>
      <c r="AE61" s="138">
        <f t="shared" si="1"/>
        <v>-1.1047180667433931E-2</v>
      </c>
    </row>
    <row r="62" spans="1:31" x14ac:dyDescent="0.25">
      <c r="O62" s="83">
        <v>0.91</v>
      </c>
      <c r="P62" s="83">
        <f t="shared" si="2"/>
        <v>30.239299999999997</v>
      </c>
      <c r="Q62" s="83"/>
      <c r="W62" s="133">
        <v>42668</v>
      </c>
      <c r="X62" s="10">
        <v>43.34</v>
      </c>
      <c r="Y62" s="10">
        <v>44.42</v>
      </c>
      <c r="Z62" s="10">
        <v>43.29</v>
      </c>
      <c r="AA62" s="10">
        <v>43.85</v>
      </c>
      <c r="AB62" s="95">
        <v>12979300</v>
      </c>
      <c r="AC62" s="10">
        <v>43.45</v>
      </c>
      <c r="AD62" s="2">
        <f t="shared" si="0"/>
        <v>1.1300000000000026</v>
      </c>
      <c r="AE62" s="138">
        <f t="shared" si="1"/>
        <v>7.8868012062167647E-3</v>
      </c>
    </row>
    <row r="63" spans="1:31" x14ac:dyDescent="0.25">
      <c r="O63" s="83">
        <v>0.9</v>
      </c>
      <c r="P63" s="83">
        <f t="shared" si="2"/>
        <v>29.906999999999996</v>
      </c>
      <c r="Q63" s="83"/>
      <c r="W63" s="133">
        <v>42667</v>
      </c>
      <c r="X63" s="10">
        <v>43.71</v>
      </c>
      <c r="Y63" s="10">
        <v>44.15</v>
      </c>
      <c r="Z63" s="10">
        <v>43.34</v>
      </c>
      <c r="AA63" s="10">
        <v>43.5</v>
      </c>
      <c r="AB63" s="95">
        <v>6470700</v>
      </c>
      <c r="AC63" s="10">
        <v>43.11</v>
      </c>
      <c r="AD63" s="2">
        <f t="shared" si="0"/>
        <v>0.80999999999999517</v>
      </c>
      <c r="AE63" s="138">
        <f t="shared" si="1"/>
        <v>-1.1238532110091737E-2</v>
      </c>
    </row>
    <row r="64" spans="1:31" x14ac:dyDescent="0.25">
      <c r="O64" s="34"/>
      <c r="W64" s="133">
        <v>42664</v>
      </c>
      <c r="X64" s="10">
        <v>44.08</v>
      </c>
      <c r="Y64" s="10">
        <v>44.3</v>
      </c>
      <c r="Z64" s="10">
        <v>43.55</v>
      </c>
      <c r="AA64" s="10">
        <v>44</v>
      </c>
      <c r="AB64" s="95">
        <v>5860700</v>
      </c>
      <c r="AC64" s="10">
        <v>43.6</v>
      </c>
      <c r="AD64" s="2">
        <f t="shared" si="0"/>
        <v>0.75</v>
      </c>
      <c r="AE64" s="138">
        <f t="shared" si="1"/>
        <v>-4.7934261584113846E-3</v>
      </c>
    </row>
    <row r="65" spans="15:31" x14ac:dyDescent="0.25">
      <c r="W65" s="133">
        <v>42663</v>
      </c>
      <c r="X65" s="10">
        <v>43.29</v>
      </c>
      <c r="Y65" s="10">
        <v>44.32</v>
      </c>
      <c r="Z65" s="10">
        <v>43.13</v>
      </c>
      <c r="AA65" s="10">
        <v>44.21</v>
      </c>
      <c r="AB65" s="95">
        <v>9170100</v>
      </c>
      <c r="AC65" s="10">
        <v>43.81</v>
      </c>
      <c r="AD65" s="2">
        <f t="shared" si="0"/>
        <v>1.1899999999999977</v>
      </c>
      <c r="AE65" s="138">
        <f t="shared" si="1"/>
        <v>2.0023282887077887E-2</v>
      </c>
    </row>
    <row r="66" spans="15:31" x14ac:dyDescent="0.25">
      <c r="W66" s="133">
        <v>42662</v>
      </c>
      <c r="X66" s="10">
        <v>43.22</v>
      </c>
      <c r="Y66" s="10">
        <v>43.47</v>
      </c>
      <c r="Z66" s="10">
        <v>42.83</v>
      </c>
      <c r="AA66" s="10">
        <v>43.34</v>
      </c>
      <c r="AB66" s="95">
        <v>7220600</v>
      </c>
      <c r="AC66" s="10">
        <v>42.95</v>
      </c>
      <c r="AD66" s="2">
        <f t="shared" si="0"/>
        <v>0.64000000000000057</v>
      </c>
      <c r="AE66" s="138">
        <f t="shared" si="1"/>
        <v>1.86610683461641E-3</v>
      </c>
    </row>
    <row r="67" spans="15:31" x14ac:dyDescent="0.25">
      <c r="W67" s="133">
        <v>42661</v>
      </c>
      <c r="X67" s="10">
        <v>42.01</v>
      </c>
      <c r="Y67" s="10">
        <v>43.43</v>
      </c>
      <c r="Z67" s="10">
        <v>41.92</v>
      </c>
      <c r="AA67" s="10">
        <v>43.26</v>
      </c>
      <c r="AB67" s="95">
        <v>11232800</v>
      </c>
      <c r="AC67" s="10">
        <v>42.87</v>
      </c>
      <c r="AD67" s="2">
        <f>Y67-Z67</f>
        <v>1.509999999999998</v>
      </c>
      <c r="AE67" s="138">
        <f>AC67/AC68-1</f>
        <v>3.5257184255010898E-2</v>
      </c>
    </row>
    <row r="68" spans="15:31" x14ac:dyDescent="0.25">
      <c r="W68" s="133">
        <v>42660</v>
      </c>
      <c r="X68" s="10">
        <v>42.98</v>
      </c>
      <c r="Y68" s="10">
        <v>43.13</v>
      </c>
      <c r="Z68" s="10">
        <v>41.67</v>
      </c>
      <c r="AA68" s="10">
        <v>41.79</v>
      </c>
      <c r="AB68" s="95">
        <v>11290700</v>
      </c>
      <c r="AC68" s="10">
        <v>41.41</v>
      </c>
      <c r="AD68" s="2">
        <f>Y68-Z68</f>
        <v>1.4600000000000009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42755</v>
      </c>
      <c r="X2" s="10">
        <v>107.35</v>
      </c>
      <c r="Y2" s="10">
        <v>107.82</v>
      </c>
      <c r="Z2" s="10">
        <v>107.18</v>
      </c>
      <c r="AA2" s="10">
        <v>107.66</v>
      </c>
      <c r="AB2" s="95">
        <v>5534800</v>
      </c>
      <c r="AC2" s="10">
        <v>107.66</v>
      </c>
      <c r="AD2" s="2">
        <f>Y2-Z2</f>
        <v>0.63999999999998636</v>
      </c>
      <c r="AE2" s="138">
        <f>AC2/AC3-1</f>
        <v>3.5421327367635147E-3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107.66</v>
      </c>
      <c r="T3" s="1"/>
      <c r="W3" s="133">
        <v>42754</v>
      </c>
      <c r="X3" s="10">
        <v>107.92</v>
      </c>
      <c r="Y3" s="10">
        <v>108.01</v>
      </c>
      <c r="Z3" s="10">
        <v>107.08</v>
      </c>
      <c r="AA3" s="10">
        <v>107.28</v>
      </c>
      <c r="AB3" s="95">
        <v>5348900</v>
      </c>
      <c r="AC3" s="10">
        <v>107.28</v>
      </c>
      <c r="AD3" s="2">
        <f t="shared" ref="AD3:AD66" si="0">Y3-Z3</f>
        <v>0.93000000000000682</v>
      </c>
      <c r="AE3" s="138">
        <f t="shared" ref="AE3:AE66" si="1">AC3/AC4-1</f>
        <v>-8.1360946745561158E-3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107.66</v>
      </c>
      <c r="R4" s="505">
        <v>3.5000000000000001E-3</v>
      </c>
      <c r="T4" s="163"/>
      <c r="W4" s="133">
        <v>42753</v>
      </c>
      <c r="X4" s="10">
        <v>106.93</v>
      </c>
      <c r="Y4" s="10">
        <v>108.4</v>
      </c>
      <c r="Z4" s="10">
        <v>106.81</v>
      </c>
      <c r="AA4" s="10">
        <v>108.16</v>
      </c>
      <c r="AB4" s="95">
        <v>7162000</v>
      </c>
      <c r="AC4" s="10">
        <v>108.16</v>
      </c>
      <c r="AD4" s="2">
        <f t="shared" si="0"/>
        <v>1.5900000000000034</v>
      </c>
      <c r="AE4" s="138">
        <f t="shared" si="1"/>
        <v>1.7597480781699204E-3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107.91</v>
      </c>
      <c r="Y5" s="10">
        <v>108.93</v>
      </c>
      <c r="Z5" s="10">
        <v>107.65</v>
      </c>
      <c r="AA5" s="10">
        <v>107.97</v>
      </c>
      <c r="AB5" s="95">
        <v>7583100</v>
      </c>
      <c r="AC5" s="10">
        <v>107.97</v>
      </c>
      <c r="AD5" s="2">
        <f t="shared" si="0"/>
        <v>1.2800000000000011</v>
      </c>
      <c r="AE5" s="138">
        <f t="shared" si="1"/>
        <v>-8.3287062742920526E-4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107.16</v>
      </c>
      <c r="Y6" s="10">
        <v>108.35</v>
      </c>
      <c r="Z6" s="10">
        <v>106.9</v>
      </c>
      <c r="AA6" s="10">
        <v>108.06</v>
      </c>
      <c r="AB6" s="95">
        <v>6467200</v>
      </c>
      <c r="AC6" s="10">
        <v>108.06</v>
      </c>
      <c r="AD6" s="2">
        <f t="shared" si="0"/>
        <v>1.4499999999999886</v>
      </c>
      <c r="AE6" s="138">
        <f t="shared" si="1"/>
        <v>4.9288570631451645E-3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42747</v>
      </c>
      <c r="X7" s="10">
        <v>108.12</v>
      </c>
      <c r="Y7" s="10">
        <v>109</v>
      </c>
      <c r="Z7" s="10">
        <v>107.43</v>
      </c>
      <c r="AA7" s="10">
        <v>107.53</v>
      </c>
      <c r="AB7" s="95">
        <v>8201600</v>
      </c>
      <c r="AC7" s="10">
        <v>107.53</v>
      </c>
      <c r="AD7" s="2">
        <f t="shared" si="0"/>
        <v>1.5699999999999932</v>
      </c>
      <c r="AE7" s="138">
        <f t="shared" si="1"/>
        <v>-1.74524853801169E-2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108.54</v>
      </c>
      <c r="Y8" s="10">
        <v>109.49</v>
      </c>
      <c r="Z8" s="10">
        <v>108.38</v>
      </c>
      <c r="AA8" s="10">
        <v>109.44</v>
      </c>
      <c r="AB8" s="95">
        <v>7590400</v>
      </c>
      <c r="AC8" s="10">
        <v>109.44</v>
      </c>
      <c r="AD8" s="2">
        <f t="shared" si="0"/>
        <v>1.1099999999999994</v>
      </c>
      <c r="AE8" s="138">
        <f t="shared" si="1"/>
        <v>9.7804022882450603E-3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107.9</v>
      </c>
      <c r="Y9" s="10">
        <v>108.82</v>
      </c>
      <c r="Z9" s="10">
        <v>107.35</v>
      </c>
      <c r="AA9" s="10">
        <v>108.38</v>
      </c>
      <c r="AB9" s="95">
        <v>7893600</v>
      </c>
      <c r="AC9" s="10">
        <v>108.38</v>
      </c>
      <c r="AD9" s="2">
        <f t="shared" si="0"/>
        <v>1.4699999999999989</v>
      </c>
      <c r="AE9" s="138">
        <f t="shared" si="1"/>
        <v>1.8456995201177051E-4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M81</f>
        <v>257.30999999999949</v>
      </c>
      <c r="W10" s="133">
        <v>42744</v>
      </c>
      <c r="X10" s="10">
        <v>108.58</v>
      </c>
      <c r="Y10" s="10">
        <v>108.83</v>
      </c>
      <c r="Z10" s="10">
        <v>108.11</v>
      </c>
      <c r="AA10" s="10">
        <v>108.36</v>
      </c>
      <c r="AB10" s="95">
        <v>6193400</v>
      </c>
      <c r="AC10" s="10">
        <v>108.36</v>
      </c>
      <c r="AD10" s="2">
        <f t="shared" si="0"/>
        <v>0.71999999999999886</v>
      </c>
      <c r="AE10" s="138">
        <f t="shared" si="1"/>
        <v>-5.6891172692237202E-3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1.4500000000000001E-2</v>
      </c>
      <c r="W11" s="133">
        <v>42741</v>
      </c>
      <c r="X11" s="10">
        <v>108.02</v>
      </c>
      <c r="Y11" s="10">
        <v>109.35</v>
      </c>
      <c r="Z11" s="10">
        <v>107.75</v>
      </c>
      <c r="AA11" s="10">
        <v>108.98</v>
      </c>
      <c r="AB11" s="95">
        <v>9263300</v>
      </c>
      <c r="AC11" s="10">
        <v>108.98</v>
      </c>
      <c r="AD11" s="2">
        <f t="shared" si="0"/>
        <v>1.5999999999999943</v>
      </c>
      <c r="AE11" s="138">
        <f t="shared" si="1"/>
        <v>1.4900353883404716E-2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42740</v>
      </c>
      <c r="X12" s="10">
        <v>107.17</v>
      </c>
      <c r="Y12" s="10">
        <v>107.62</v>
      </c>
      <c r="Z12" s="10">
        <v>106.79</v>
      </c>
      <c r="AA12" s="10">
        <v>107.38</v>
      </c>
      <c r="AB12" s="95">
        <v>6292500</v>
      </c>
      <c r="AC12" s="10">
        <v>107.38</v>
      </c>
      <c r="AD12" s="2">
        <f t="shared" si="0"/>
        <v>0.82999999999999829</v>
      </c>
      <c r="AE12" s="138">
        <f t="shared" si="1"/>
        <v>-5.5845122859277119E-4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106.64</v>
      </c>
      <c r="Y13" s="10">
        <v>107.5</v>
      </c>
      <c r="Z13" s="10">
        <v>106.25</v>
      </c>
      <c r="AA13" s="10">
        <v>107.44</v>
      </c>
      <c r="AB13" s="95">
        <v>8231900</v>
      </c>
      <c r="AC13" s="10">
        <v>107.44</v>
      </c>
      <c r="AD13" s="2">
        <f t="shared" si="0"/>
        <v>1.25</v>
      </c>
      <c r="AE13" s="138">
        <f t="shared" si="1"/>
        <v>1.2820512820512775E-2</v>
      </c>
    </row>
    <row r="14" spans="1:31" x14ac:dyDescent="0.25">
      <c r="W14" s="133">
        <v>42738</v>
      </c>
      <c r="X14" s="10">
        <v>105.3</v>
      </c>
      <c r="Y14" s="10">
        <v>106.9</v>
      </c>
      <c r="Z14" s="10">
        <v>105.21</v>
      </c>
      <c r="AA14" s="10">
        <v>106.08</v>
      </c>
      <c r="AB14" s="95">
        <v>8872900</v>
      </c>
      <c r="AC14" s="10">
        <v>106.08</v>
      </c>
      <c r="AD14" s="2">
        <f t="shared" si="0"/>
        <v>1.6900000000000119</v>
      </c>
      <c r="AE14" s="138">
        <f t="shared" si="1"/>
        <v>1.7846862406447839E-2</v>
      </c>
    </row>
    <row r="15" spans="1:31" x14ac:dyDescent="0.25">
      <c r="W15" s="133">
        <v>42734</v>
      </c>
      <c r="X15" s="10">
        <v>104.57</v>
      </c>
      <c r="Y15" s="10">
        <v>105</v>
      </c>
      <c r="Z15" s="10">
        <v>103.96</v>
      </c>
      <c r="AA15" s="10">
        <v>104.22</v>
      </c>
      <c r="AB15" s="95">
        <v>6629500</v>
      </c>
      <c r="AC15" s="10">
        <v>104.22</v>
      </c>
      <c r="AD15" s="2">
        <f t="shared" si="0"/>
        <v>1.0400000000000063</v>
      </c>
      <c r="AE15" s="138">
        <f t="shared" si="1"/>
        <v>-3.2517214996174992E-3</v>
      </c>
    </row>
    <row r="16" spans="1:31" x14ac:dyDescent="0.25">
      <c r="W16" s="133">
        <v>42733</v>
      </c>
      <c r="X16" s="10">
        <v>104.23</v>
      </c>
      <c r="Y16" s="10">
        <v>104.77</v>
      </c>
      <c r="Z16" s="10">
        <v>103.87</v>
      </c>
      <c r="AA16" s="10">
        <v>104.56</v>
      </c>
      <c r="AB16" s="95">
        <v>5892000</v>
      </c>
      <c r="AC16" s="10">
        <v>104.56</v>
      </c>
      <c r="AD16" s="2">
        <f t="shared" si="0"/>
        <v>0.89999999999999147</v>
      </c>
      <c r="AE16" s="138">
        <f t="shared" si="1"/>
        <v>2.4928092042186822E-3</v>
      </c>
    </row>
    <row r="17" spans="1:31" x14ac:dyDescent="0.25">
      <c r="W17" s="133">
        <v>42732</v>
      </c>
      <c r="X17" s="10">
        <v>104.99</v>
      </c>
      <c r="Y17" s="10">
        <v>105.32</v>
      </c>
      <c r="Z17" s="10">
        <v>104.06</v>
      </c>
      <c r="AA17" s="10">
        <v>104.3</v>
      </c>
      <c r="AB17" s="95">
        <v>5116200</v>
      </c>
      <c r="AC17" s="10">
        <v>104.3</v>
      </c>
      <c r="AD17" s="2">
        <f t="shared" si="0"/>
        <v>1.2599999999999909</v>
      </c>
      <c r="AE17" s="138">
        <f t="shared" si="1"/>
        <v>-8.2723210040887007E-3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42731</v>
      </c>
      <c r="X18" s="10">
        <v>104.85</v>
      </c>
      <c r="Y18" s="10">
        <v>105.56</v>
      </c>
      <c r="Z18" s="10">
        <v>104.78</v>
      </c>
      <c r="AA18" s="10">
        <v>105.17</v>
      </c>
      <c r="AB18" s="95">
        <v>3634300</v>
      </c>
      <c r="AC18" s="10">
        <v>105.17</v>
      </c>
      <c r="AD18" s="2">
        <f t="shared" si="0"/>
        <v>0.78000000000000114</v>
      </c>
      <c r="AE18" s="138">
        <f t="shared" si="1"/>
        <v>1.9020446980499983E-4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105.24</v>
      </c>
      <c r="Y19" s="10">
        <v>105.34</v>
      </c>
      <c r="Z19" s="10">
        <v>104.75</v>
      </c>
      <c r="AA19" s="10">
        <v>105.15</v>
      </c>
      <c r="AB19" s="95">
        <v>3231000</v>
      </c>
      <c r="AC19" s="10">
        <v>105.15</v>
      </c>
      <c r="AD19" s="2">
        <f t="shared" si="0"/>
        <v>0.59000000000000341</v>
      </c>
      <c r="AE19" s="138">
        <f t="shared" si="1"/>
        <v>-2.5611838360841688E-3</v>
      </c>
    </row>
    <row r="20" spans="1:31" x14ac:dyDescent="0.25">
      <c r="W20" s="133">
        <v>42726</v>
      </c>
      <c r="X20" s="10">
        <v>104.96</v>
      </c>
      <c r="Y20" s="10">
        <v>105.49</v>
      </c>
      <c r="Z20" s="10">
        <v>104.7</v>
      </c>
      <c r="AA20" s="10">
        <v>105.42</v>
      </c>
      <c r="AB20" s="95">
        <v>5230800</v>
      </c>
      <c r="AC20" s="10">
        <v>105.42</v>
      </c>
      <c r="AD20" s="2">
        <f t="shared" si="0"/>
        <v>0.78999999999999204</v>
      </c>
      <c r="AE20" s="138">
        <f t="shared" si="1"/>
        <v>-1.3262599469495706E-3</v>
      </c>
    </row>
    <row r="21" spans="1:31" x14ac:dyDescent="0.25">
      <c r="W21" s="133">
        <v>42725</v>
      </c>
      <c r="X21" s="10">
        <v>104.61</v>
      </c>
      <c r="Y21" s="10">
        <v>105.91</v>
      </c>
      <c r="Z21" s="10">
        <v>104.51</v>
      </c>
      <c r="AA21" s="10">
        <v>105.56</v>
      </c>
      <c r="AB21" s="95">
        <v>5202400</v>
      </c>
      <c r="AC21" s="10">
        <v>105.56</v>
      </c>
      <c r="AD21" s="2">
        <f t="shared" si="0"/>
        <v>1.3999999999999915</v>
      </c>
      <c r="AE21" s="138">
        <f t="shared" si="1"/>
        <v>9.4822681585449153E-4</v>
      </c>
    </row>
    <row r="22" spans="1:31" x14ac:dyDescent="0.25">
      <c r="W22" s="133">
        <v>42724</v>
      </c>
      <c r="X22" s="10">
        <v>105.64</v>
      </c>
      <c r="Y22" s="10">
        <v>106.2</v>
      </c>
      <c r="Z22" s="10">
        <v>105.06</v>
      </c>
      <c r="AA22" s="10">
        <v>105.46</v>
      </c>
      <c r="AB22" s="95">
        <v>8947300</v>
      </c>
      <c r="AC22" s="10">
        <v>105.46</v>
      </c>
      <c r="AD22" s="2">
        <f t="shared" si="0"/>
        <v>1.1400000000000006</v>
      </c>
      <c r="AE22" s="138">
        <f t="shared" si="1"/>
        <v>1.5194681861347981E-3</v>
      </c>
    </row>
    <row r="23" spans="1:31" x14ac:dyDescent="0.25">
      <c r="W23" s="133">
        <v>42723</v>
      </c>
      <c r="X23" s="10">
        <v>105.7</v>
      </c>
      <c r="Y23" s="10">
        <v>106.26</v>
      </c>
      <c r="Z23" s="10">
        <v>105.07</v>
      </c>
      <c r="AA23" s="10">
        <v>105.3</v>
      </c>
      <c r="AB23" s="95">
        <v>11475600</v>
      </c>
      <c r="AC23" s="10">
        <v>105.3</v>
      </c>
      <c r="AD23" s="2">
        <f t="shared" si="0"/>
        <v>1.1900000000000119</v>
      </c>
      <c r="AE23" s="138">
        <f t="shared" si="1"/>
        <v>1.3376960831488871E-2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104.71</v>
      </c>
      <c r="Y24" s="10">
        <v>104.73</v>
      </c>
      <c r="Z24" s="10">
        <v>103.75</v>
      </c>
      <c r="AA24" s="10">
        <v>103.91</v>
      </c>
      <c r="AB24" s="95">
        <v>12635500</v>
      </c>
      <c r="AC24" s="10">
        <v>103.91</v>
      </c>
      <c r="AD24" s="2">
        <f t="shared" si="0"/>
        <v>0.98000000000000398</v>
      </c>
      <c r="AE24" s="138">
        <f t="shared" si="1"/>
        <v>-4.5981415844429385E-3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42719</v>
      </c>
      <c r="X25" s="10">
        <v>103.85</v>
      </c>
      <c r="Y25" s="10">
        <v>105.64</v>
      </c>
      <c r="Z25" s="10">
        <v>103.82</v>
      </c>
      <c r="AA25" s="10">
        <v>104.39</v>
      </c>
      <c r="AB25" s="95">
        <v>8745400</v>
      </c>
      <c r="AC25" s="10">
        <v>104.39</v>
      </c>
      <c r="AD25" s="2">
        <f t="shared" si="0"/>
        <v>1.8200000000000074</v>
      </c>
      <c r="AE25" s="138">
        <f t="shared" si="1"/>
        <v>3.2676597789524919E-3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42718</v>
      </c>
      <c r="X26" s="10">
        <v>103.62</v>
      </c>
      <c r="Y26" s="10">
        <v>104.41</v>
      </c>
      <c r="Z26" s="10">
        <v>103.5</v>
      </c>
      <c r="AA26" s="10">
        <v>104.05</v>
      </c>
      <c r="AB26" s="95">
        <v>7961900</v>
      </c>
      <c r="AC26" s="10">
        <v>104.05</v>
      </c>
      <c r="AD26" s="2">
        <f t="shared" si="0"/>
        <v>0.90999999999999659</v>
      </c>
      <c r="AE26" s="138">
        <f t="shared" si="1"/>
        <v>1.925854597977894E-3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42717</v>
      </c>
      <c r="X27" s="10">
        <v>104.2</v>
      </c>
      <c r="Y27" s="10">
        <v>104.31</v>
      </c>
      <c r="Z27" s="10">
        <v>103.71</v>
      </c>
      <c r="AA27" s="10">
        <v>103.85</v>
      </c>
      <c r="AB27" s="95">
        <v>7393200</v>
      </c>
      <c r="AC27" s="10">
        <v>103.85</v>
      </c>
      <c r="AD27" s="2">
        <f t="shared" si="0"/>
        <v>0.60000000000000853</v>
      </c>
      <c r="AE27" s="138">
        <f t="shared" si="1"/>
        <v>-2.0180665000961717E-3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42716</v>
      </c>
      <c r="X28" s="10">
        <v>104.61</v>
      </c>
      <c r="Y28" s="10">
        <v>104.7</v>
      </c>
      <c r="Z28" s="10">
        <v>103.73</v>
      </c>
      <c r="AA28" s="10">
        <v>104.06</v>
      </c>
      <c r="AB28" s="95">
        <v>7880200</v>
      </c>
      <c r="AC28" s="10">
        <v>104.06</v>
      </c>
      <c r="AD28" s="2">
        <f t="shared" si="0"/>
        <v>0.96999999999999886</v>
      </c>
      <c r="AE28" s="138">
        <f t="shared" si="1"/>
        <v>-7.6292199122639515E-3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42713</v>
      </c>
      <c r="X29" s="10">
        <v>103.49</v>
      </c>
      <c r="Y29" s="10">
        <v>105.52</v>
      </c>
      <c r="Z29" s="10">
        <v>103.18</v>
      </c>
      <c r="AA29" s="10">
        <v>104.86</v>
      </c>
      <c r="AB29" s="95">
        <v>12173900</v>
      </c>
      <c r="AC29" s="10">
        <v>104.86</v>
      </c>
      <c r="AD29" s="2">
        <f t="shared" si="0"/>
        <v>2.3399999999999892</v>
      </c>
      <c r="AE29" s="138">
        <f t="shared" si="1"/>
        <v>1.4316115302766441E-2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42712</v>
      </c>
      <c r="X30" s="10">
        <v>101.47</v>
      </c>
      <c r="Y30" s="10">
        <v>103.96</v>
      </c>
      <c r="Z30" s="10">
        <v>101.47</v>
      </c>
      <c r="AA30" s="10">
        <v>103.38</v>
      </c>
      <c r="AB30" s="95">
        <v>16524800</v>
      </c>
      <c r="AC30" s="10">
        <v>103.38</v>
      </c>
      <c r="AD30" s="2">
        <f t="shared" si="0"/>
        <v>2.4899999999999949</v>
      </c>
      <c r="AE30" s="138" t="e">
        <f t="shared" si="1"/>
        <v>#DIV/0!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42712</v>
      </c>
      <c r="X31" s="10" t="s">
        <v>364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42711</v>
      </c>
      <c r="X32" s="10">
        <v>100.51</v>
      </c>
      <c r="Y32" s="10">
        <v>102.07</v>
      </c>
      <c r="Z32" s="10">
        <v>100.44</v>
      </c>
      <c r="AA32" s="10">
        <v>101.99</v>
      </c>
      <c r="AB32" s="95">
        <v>12255700</v>
      </c>
      <c r="AC32" s="10">
        <v>101.21</v>
      </c>
      <c r="AD32" s="2">
        <f t="shared" si="0"/>
        <v>1.6299999999999955</v>
      </c>
      <c r="AE32" s="138">
        <f t="shared" si="1"/>
        <v>1.3214535989588549E-2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42710</v>
      </c>
      <c r="X33" s="10">
        <v>99.95</v>
      </c>
      <c r="Y33" s="10">
        <v>100.72</v>
      </c>
      <c r="Z33" s="10">
        <v>99.82</v>
      </c>
      <c r="AA33" s="10">
        <v>100.66</v>
      </c>
      <c r="AB33" s="95">
        <v>8427500</v>
      </c>
      <c r="AC33" s="10">
        <v>99.89</v>
      </c>
      <c r="AD33" s="2">
        <f t="shared" si="0"/>
        <v>0.90000000000000568</v>
      </c>
      <c r="AE33" s="138">
        <f t="shared" si="1"/>
        <v>6.9556451612902137E-3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42709</v>
      </c>
      <c r="X34" s="10">
        <v>98.98</v>
      </c>
      <c r="Y34" s="10">
        <v>100.27</v>
      </c>
      <c r="Z34" s="10">
        <v>98.68</v>
      </c>
      <c r="AA34" s="10">
        <v>99.96</v>
      </c>
      <c r="AB34" s="95">
        <v>11331500</v>
      </c>
      <c r="AC34" s="10">
        <v>99.2</v>
      </c>
      <c r="AD34" s="2">
        <f t="shared" si="0"/>
        <v>1.5899999999999892</v>
      </c>
      <c r="AE34" s="138">
        <f t="shared" si="1"/>
        <v>1.4833759590792805E-2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42706</v>
      </c>
      <c r="X35" s="10">
        <v>98.79</v>
      </c>
      <c r="Y35" s="10">
        <v>99.08</v>
      </c>
      <c r="Z35" s="10">
        <v>98.25</v>
      </c>
      <c r="AA35" s="10">
        <v>98.5</v>
      </c>
      <c r="AB35" s="95">
        <v>7737200</v>
      </c>
      <c r="AC35" s="10">
        <v>97.75</v>
      </c>
      <c r="AD35" s="2">
        <f t="shared" si="0"/>
        <v>0.82999999999999829</v>
      </c>
      <c r="AE35" s="138">
        <f t="shared" si="1"/>
        <v>-4.3797107353840126E-3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42705</v>
      </c>
      <c r="X36" s="10">
        <v>99.13</v>
      </c>
      <c r="Y36" s="10">
        <v>99.75</v>
      </c>
      <c r="Z36" s="10">
        <v>98.62</v>
      </c>
      <c r="AA36" s="10">
        <v>98.94</v>
      </c>
      <c r="AB36" s="95">
        <v>9958100</v>
      </c>
      <c r="AC36" s="10">
        <v>98.18</v>
      </c>
      <c r="AD36" s="2">
        <f t="shared" si="0"/>
        <v>1.1299999999999955</v>
      </c>
      <c r="AE36" s="138">
        <f t="shared" si="1"/>
        <v>-1.8300122000812769E-3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42704</v>
      </c>
      <c r="X37" s="10">
        <v>99.4</v>
      </c>
      <c r="Y37" s="10">
        <v>100.29</v>
      </c>
      <c r="Z37" s="10">
        <v>99</v>
      </c>
      <c r="AA37" s="10">
        <v>99.12</v>
      </c>
      <c r="AB37" s="95">
        <v>11369200</v>
      </c>
      <c r="AC37" s="10">
        <v>98.36</v>
      </c>
      <c r="AD37" s="2">
        <f t="shared" si="0"/>
        <v>1.2900000000000063</v>
      </c>
      <c r="AE37" s="138">
        <f t="shared" si="1"/>
        <v>-5.5606106561519875E-3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42703</v>
      </c>
      <c r="X38" s="10">
        <v>99.24</v>
      </c>
      <c r="Y38" s="10">
        <v>99.68</v>
      </c>
      <c r="Z38" s="10">
        <v>98.97</v>
      </c>
      <c r="AA38" s="10">
        <v>99.67</v>
      </c>
      <c r="AB38" s="95">
        <v>8396800</v>
      </c>
      <c r="AC38" s="10">
        <v>98.91</v>
      </c>
      <c r="AD38" s="2">
        <f t="shared" si="0"/>
        <v>0.71000000000000796</v>
      </c>
      <c r="AE38" s="138">
        <f t="shared" si="1"/>
        <v>7.1275837491091565E-3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42702</v>
      </c>
      <c r="X39" s="10">
        <v>98.52</v>
      </c>
      <c r="Y39" s="10">
        <v>99.2</v>
      </c>
      <c r="Z39" s="10">
        <v>98.32</v>
      </c>
      <c r="AA39" s="10">
        <v>98.97</v>
      </c>
      <c r="AB39" s="95">
        <v>7106700</v>
      </c>
      <c r="AC39" s="10">
        <v>98.21</v>
      </c>
      <c r="AD39" s="2">
        <f t="shared" si="0"/>
        <v>0.88000000000000966</v>
      </c>
      <c r="AE39" s="138">
        <f t="shared" si="1"/>
        <v>1.5296757087497337E-3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2" t="s">
        <v>78</v>
      </c>
      <c r="P40" s="632"/>
      <c r="W40" s="133">
        <v>42699</v>
      </c>
      <c r="X40" s="10">
        <v>98.71</v>
      </c>
      <c r="Y40" s="10">
        <v>99.07</v>
      </c>
      <c r="Z40" s="10">
        <v>98.5</v>
      </c>
      <c r="AA40" s="10">
        <v>98.82</v>
      </c>
      <c r="AB40" s="95">
        <v>4396800</v>
      </c>
      <c r="AC40" s="10">
        <v>98.06</v>
      </c>
      <c r="AD40" s="2">
        <f t="shared" si="0"/>
        <v>0.56999999999999318</v>
      </c>
      <c r="AE40" s="138">
        <f t="shared" si="1"/>
        <v>5.6404471336273243E-3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118.426</v>
      </c>
      <c r="Q41" s="2"/>
      <c r="W41" s="133">
        <v>42697</v>
      </c>
      <c r="X41" s="10">
        <v>97.67</v>
      </c>
      <c r="Y41" s="10">
        <v>98.28</v>
      </c>
      <c r="Z41" s="10">
        <v>97.59</v>
      </c>
      <c r="AA41" s="10">
        <v>98.26</v>
      </c>
      <c r="AB41" s="95">
        <v>5897400</v>
      </c>
      <c r="AC41" s="10">
        <v>97.51</v>
      </c>
      <c r="AD41" s="2">
        <f t="shared" si="0"/>
        <v>0.68999999999999773</v>
      </c>
      <c r="AE41" s="138">
        <f t="shared" si="1"/>
        <v>5.6724422442244737E-3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117.3494</v>
      </c>
      <c r="Q42" s="2"/>
      <c r="T42" s="91" t="s">
        <v>113</v>
      </c>
      <c r="W42" s="133">
        <v>42696</v>
      </c>
      <c r="X42" s="10">
        <v>97.4</v>
      </c>
      <c r="Y42" s="10">
        <v>97.93</v>
      </c>
      <c r="Z42" s="10">
        <v>97.27</v>
      </c>
      <c r="AA42" s="10">
        <v>97.71</v>
      </c>
      <c r="AB42" s="95">
        <v>5323700</v>
      </c>
      <c r="AC42" s="10">
        <v>96.96</v>
      </c>
      <c r="AD42" s="2">
        <f t="shared" si="0"/>
        <v>0.6600000000000108</v>
      </c>
      <c r="AE42" s="138">
        <f t="shared" si="1"/>
        <v>8.2576383154409072E-4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116.2728</v>
      </c>
      <c r="Q43" s="2"/>
      <c r="T43" s="128" t="s">
        <v>98</v>
      </c>
      <c r="U43" s="98">
        <v>107.28</v>
      </c>
      <c r="W43" s="133">
        <v>42695</v>
      </c>
      <c r="X43" s="10">
        <v>98.11</v>
      </c>
      <c r="Y43" s="10">
        <v>98.27</v>
      </c>
      <c r="Z43" s="10">
        <v>97</v>
      </c>
      <c r="AA43" s="10">
        <v>97.63</v>
      </c>
      <c r="AB43" s="95">
        <v>10771100</v>
      </c>
      <c r="AC43" s="10">
        <v>96.88</v>
      </c>
      <c r="AD43" s="2">
        <f t="shared" si="0"/>
        <v>1.269999999999996</v>
      </c>
      <c r="AE43" s="138">
        <f t="shared" si="1"/>
        <v>-6.2570520053338852E-3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115.1962</v>
      </c>
      <c r="Q44" s="2"/>
      <c r="T44" s="93" t="s">
        <v>99</v>
      </c>
      <c r="U44" s="88">
        <v>107.35</v>
      </c>
      <c r="W44" s="133">
        <v>42692</v>
      </c>
      <c r="X44" s="10">
        <v>99.05</v>
      </c>
      <c r="Y44" s="10">
        <v>99.37</v>
      </c>
      <c r="Z44" s="10">
        <v>98.14</v>
      </c>
      <c r="AA44" s="10">
        <v>98.24</v>
      </c>
      <c r="AB44" s="95">
        <v>8586100</v>
      </c>
      <c r="AC44" s="10">
        <v>97.49</v>
      </c>
      <c r="AD44" s="2">
        <f t="shared" si="0"/>
        <v>1.230000000000004</v>
      </c>
      <c r="AE44" s="138">
        <f t="shared" si="1"/>
        <v>-1.1357874454923533E-2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114.11960000000001</v>
      </c>
      <c r="Q45" s="2"/>
      <c r="T45" s="93" t="s">
        <v>100</v>
      </c>
      <c r="U45" s="88" t="s">
        <v>129</v>
      </c>
      <c r="W45" s="133">
        <v>42691</v>
      </c>
      <c r="X45" s="10">
        <v>99.05</v>
      </c>
      <c r="Y45" s="10">
        <v>99.5</v>
      </c>
      <c r="Z45" s="10">
        <v>98.27</v>
      </c>
      <c r="AA45" s="10">
        <v>99.37</v>
      </c>
      <c r="AB45" s="95">
        <v>8662600</v>
      </c>
      <c r="AC45" s="10">
        <v>98.61</v>
      </c>
      <c r="AD45" s="2">
        <f t="shared" si="0"/>
        <v>1.230000000000004</v>
      </c>
      <c r="AE45" s="138">
        <f t="shared" si="1"/>
        <v>2.5416836112239771E-3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113.04300000000001</v>
      </c>
      <c r="Q46" s="2"/>
      <c r="T46" s="93" t="s">
        <v>101</v>
      </c>
      <c r="U46" s="88" t="s">
        <v>129</v>
      </c>
      <c r="W46" s="133">
        <v>42690</v>
      </c>
      <c r="X46" s="10">
        <v>98.33</v>
      </c>
      <c r="Y46" s="10">
        <v>99.17</v>
      </c>
      <c r="Z46" s="10">
        <v>98.1</v>
      </c>
      <c r="AA46" s="10">
        <v>99.12</v>
      </c>
      <c r="AB46" s="95">
        <v>9702400</v>
      </c>
      <c r="AC46" s="10">
        <v>98.36</v>
      </c>
      <c r="AD46" s="2">
        <f t="shared" si="0"/>
        <v>1.0700000000000074</v>
      </c>
      <c r="AE46" s="138">
        <f t="shared" si="1"/>
        <v>1.454357916451765E-2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111.96640000000001</v>
      </c>
      <c r="Q47" s="2"/>
      <c r="T47" s="93" t="s">
        <v>102</v>
      </c>
      <c r="U47" s="88">
        <v>111.59</v>
      </c>
      <c r="W47" s="133">
        <v>42689</v>
      </c>
      <c r="X47" s="10">
        <v>97.9</v>
      </c>
      <c r="Y47" s="10">
        <v>98.14</v>
      </c>
      <c r="Z47" s="10">
        <v>97.42</v>
      </c>
      <c r="AA47" s="10">
        <v>97.7</v>
      </c>
      <c r="AB47" s="95">
        <v>7184600</v>
      </c>
      <c r="AC47" s="10">
        <v>96.95</v>
      </c>
      <c r="AD47" s="2">
        <f t="shared" si="0"/>
        <v>0.71999999999999886</v>
      </c>
      <c r="AE47" s="138">
        <f t="shared" si="1"/>
        <v>-2.2640732736440849E-3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110.88979999999999</v>
      </c>
      <c r="Q48" s="2"/>
      <c r="T48" s="93" t="s">
        <v>103</v>
      </c>
      <c r="U48" s="88">
        <v>1.43608</v>
      </c>
      <c r="W48" s="133">
        <v>42688</v>
      </c>
      <c r="X48" s="10">
        <v>97.56</v>
      </c>
      <c r="Y48" s="10">
        <v>98.31</v>
      </c>
      <c r="Z48" s="10">
        <v>97.45</v>
      </c>
      <c r="AA48" s="10">
        <v>97.92</v>
      </c>
      <c r="AB48" s="95">
        <v>13208400</v>
      </c>
      <c r="AC48" s="10">
        <v>97.17</v>
      </c>
      <c r="AD48" s="2">
        <f t="shared" si="0"/>
        <v>0.85999999999999943</v>
      </c>
      <c r="AE48" s="138">
        <f t="shared" si="1"/>
        <v>2.4760136180748127E-3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109.81319999999999</v>
      </c>
      <c r="Q49" s="2"/>
      <c r="T49" s="93" t="s">
        <v>104</v>
      </c>
      <c r="U49" s="88" t="s">
        <v>450</v>
      </c>
      <c r="W49" s="133">
        <v>42685</v>
      </c>
      <c r="X49" s="10">
        <v>97.18</v>
      </c>
      <c r="Y49" s="10">
        <v>98.32</v>
      </c>
      <c r="Z49" s="10">
        <v>95.78</v>
      </c>
      <c r="AA49" s="10">
        <v>97.68</v>
      </c>
      <c r="AB49" s="95">
        <v>23008100</v>
      </c>
      <c r="AC49" s="10">
        <v>96.93</v>
      </c>
      <c r="AD49" s="2">
        <f t="shared" si="0"/>
        <v>2.539999999999992</v>
      </c>
      <c r="AE49" s="138">
        <f t="shared" si="1"/>
        <v>2.8653295128939771E-2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108.7366</v>
      </c>
      <c r="Q50" s="2"/>
      <c r="T50" s="93"/>
      <c r="U50" s="88"/>
      <c r="W50" s="133">
        <v>42684</v>
      </c>
      <c r="X50" s="10">
        <v>94.89</v>
      </c>
      <c r="Y50" s="10">
        <v>96.06</v>
      </c>
      <c r="Z50" s="10">
        <v>94.23</v>
      </c>
      <c r="AA50" s="10">
        <v>94.96</v>
      </c>
      <c r="AB50" s="95">
        <v>13777900</v>
      </c>
      <c r="AC50" s="10">
        <v>94.23</v>
      </c>
      <c r="AD50" s="2">
        <f t="shared" si="0"/>
        <v>1.8299999999999983</v>
      </c>
      <c r="AE50" s="138">
        <f t="shared" si="1"/>
        <v>3.300681431005037E-3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107.66</v>
      </c>
      <c r="Q51" s="2"/>
      <c r="T51" s="93" t="s">
        <v>105</v>
      </c>
      <c r="U51" s="88" t="s">
        <v>581</v>
      </c>
      <c r="W51" s="133">
        <v>42683</v>
      </c>
      <c r="X51" s="10">
        <v>92.29</v>
      </c>
      <c r="Y51" s="10">
        <v>94.92</v>
      </c>
      <c r="Z51" s="10">
        <v>92.11</v>
      </c>
      <c r="AA51" s="10">
        <v>94.64</v>
      </c>
      <c r="AB51" s="95">
        <v>8635700</v>
      </c>
      <c r="AC51" s="10">
        <v>93.92</v>
      </c>
      <c r="AD51" s="2">
        <f t="shared" si="0"/>
        <v>2.8100000000000023</v>
      </c>
      <c r="AE51" s="138">
        <f t="shared" si="1"/>
        <v>2.7759982916935044E-3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106.5834</v>
      </c>
      <c r="Q52" s="2"/>
      <c r="T52" s="93" t="s">
        <v>106</v>
      </c>
      <c r="U52" s="88" t="s">
        <v>430</v>
      </c>
      <c r="W52" s="133">
        <v>42682</v>
      </c>
      <c r="X52" s="10">
        <v>94.53</v>
      </c>
      <c r="Y52" s="10">
        <v>94.85</v>
      </c>
      <c r="Z52" s="10">
        <v>93.9</v>
      </c>
      <c r="AA52" s="10">
        <v>94.38</v>
      </c>
      <c r="AB52" s="95">
        <v>6226900</v>
      </c>
      <c r="AC52" s="10">
        <v>93.66</v>
      </c>
      <c r="AD52" s="2">
        <f t="shared" si="0"/>
        <v>0.94999999999998863</v>
      </c>
      <c r="AE52" s="138">
        <f t="shared" si="1"/>
        <v>-5.335609860206425E-4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105.5068</v>
      </c>
      <c r="Q53" s="2"/>
      <c r="T53" s="93" t="s">
        <v>107</v>
      </c>
      <c r="U53" s="90">
        <v>5648970</v>
      </c>
      <c r="W53" s="133">
        <v>42681</v>
      </c>
      <c r="X53" s="10">
        <v>93.77</v>
      </c>
      <c r="Y53" s="10">
        <v>94.48</v>
      </c>
      <c r="Z53" s="10">
        <v>92.95</v>
      </c>
      <c r="AA53" s="10">
        <v>94.43</v>
      </c>
      <c r="AB53" s="95">
        <v>6996100</v>
      </c>
      <c r="AC53" s="10">
        <v>93.71</v>
      </c>
      <c r="AD53" s="2">
        <f t="shared" si="0"/>
        <v>1.5300000000000011</v>
      </c>
      <c r="AE53" s="138">
        <f t="shared" si="1"/>
        <v>2.1473730106823519E-2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104.4302</v>
      </c>
      <c r="T54" s="93" t="s">
        <v>110</v>
      </c>
      <c r="U54" s="90">
        <v>8388710</v>
      </c>
      <c r="W54" s="133">
        <v>42678</v>
      </c>
      <c r="X54" s="10">
        <v>93.5</v>
      </c>
      <c r="Y54" s="10">
        <v>93.79</v>
      </c>
      <c r="Z54" s="10">
        <v>92.36</v>
      </c>
      <c r="AA54" s="10">
        <v>92.45</v>
      </c>
      <c r="AB54" s="95">
        <v>7456500</v>
      </c>
      <c r="AC54" s="10">
        <v>91.74</v>
      </c>
      <c r="AD54" s="2">
        <f t="shared" si="0"/>
        <v>1.4300000000000068</v>
      </c>
      <c r="AE54" s="138">
        <f t="shared" si="1"/>
        <v>-9.9287718540902459E-3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103.35359999999999</v>
      </c>
      <c r="T55" s="93" t="s">
        <v>108</v>
      </c>
      <c r="U55" s="88" t="s">
        <v>650</v>
      </c>
      <c r="W55" s="133">
        <v>42677</v>
      </c>
      <c r="X55" s="10">
        <v>92.26</v>
      </c>
      <c r="Y55" s="10">
        <v>94.13</v>
      </c>
      <c r="Z55" s="10">
        <v>92.24</v>
      </c>
      <c r="AA55" s="10">
        <v>93.37</v>
      </c>
      <c r="AB55" s="95">
        <v>7751400</v>
      </c>
      <c r="AC55" s="10">
        <v>92.66</v>
      </c>
      <c r="AD55" s="2">
        <f t="shared" si="0"/>
        <v>1.8900000000000006</v>
      </c>
      <c r="AE55" s="138">
        <f t="shared" si="1"/>
        <v>1.5897379673281531E-2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102.27699999999999</v>
      </c>
      <c r="T56" s="93" t="s">
        <v>111</v>
      </c>
      <c r="U56" s="88">
        <v>18.79</v>
      </c>
      <c r="W56" s="133">
        <v>42676</v>
      </c>
      <c r="X56" s="10">
        <v>91.91</v>
      </c>
      <c r="Y56" s="10">
        <v>92.56</v>
      </c>
      <c r="Z56" s="10">
        <v>91.69</v>
      </c>
      <c r="AA56" s="10">
        <v>91.91</v>
      </c>
      <c r="AB56" s="95">
        <v>6716200</v>
      </c>
      <c r="AC56" s="10">
        <v>91.21</v>
      </c>
      <c r="AD56" s="2">
        <f t="shared" si="0"/>
        <v>0.87000000000000455</v>
      </c>
      <c r="AE56" s="138">
        <f t="shared" si="1"/>
        <v>-5.1265270506110072E-3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101.20039999999999</v>
      </c>
      <c r="T57" s="93" t="s">
        <v>112</v>
      </c>
      <c r="U57" s="88">
        <v>5.73</v>
      </c>
      <c r="W57" s="133">
        <v>42675</v>
      </c>
      <c r="X57" s="10">
        <v>92.78</v>
      </c>
      <c r="Y57" s="10">
        <v>92.99</v>
      </c>
      <c r="Z57" s="10">
        <v>91.66</v>
      </c>
      <c r="AA57" s="10">
        <v>92.39</v>
      </c>
      <c r="AB57" s="95">
        <v>6449800</v>
      </c>
      <c r="AC57" s="10">
        <v>91.68</v>
      </c>
      <c r="AD57" s="2">
        <f t="shared" si="0"/>
        <v>1.3299999999999983</v>
      </c>
      <c r="AE57" s="138">
        <f t="shared" si="1"/>
        <v>-3.2615786040443018E-3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100.1238</v>
      </c>
      <c r="T58" s="93" t="s">
        <v>109</v>
      </c>
      <c r="U58" s="88" t="s">
        <v>651</v>
      </c>
      <c r="W58" s="133">
        <v>42674</v>
      </c>
      <c r="X58" s="10">
        <v>93.72</v>
      </c>
      <c r="Y58" s="10">
        <v>93.82</v>
      </c>
      <c r="Z58" s="10">
        <v>92.31</v>
      </c>
      <c r="AA58" s="10">
        <v>92.69</v>
      </c>
      <c r="AB58" s="95">
        <v>9957600</v>
      </c>
      <c r="AC58" s="10">
        <v>91.98</v>
      </c>
      <c r="AD58" s="2">
        <f t="shared" si="0"/>
        <v>1.5099999999999909</v>
      </c>
      <c r="AE58" s="138">
        <f t="shared" si="1"/>
        <v>-1.2348330290991028E-2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99.047200000000004</v>
      </c>
      <c r="W59" s="133">
        <v>42671</v>
      </c>
      <c r="X59" s="10">
        <v>93.89</v>
      </c>
      <c r="Y59" s="10">
        <v>94.4</v>
      </c>
      <c r="Z59" s="10">
        <v>93.53</v>
      </c>
      <c r="AA59" s="10">
        <v>93.85</v>
      </c>
      <c r="AB59" s="95">
        <v>7309100</v>
      </c>
      <c r="AC59" s="10">
        <v>93.13</v>
      </c>
      <c r="AD59" s="2">
        <f t="shared" si="0"/>
        <v>0.87000000000000455</v>
      </c>
      <c r="AE59" s="138">
        <f t="shared" si="1"/>
        <v>-1.8220793140407698E-3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97.970600000000005</v>
      </c>
      <c r="W60" s="133">
        <v>42670</v>
      </c>
      <c r="X60" s="10">
        <v>93.8</v>
      </c>
      <c r="Y60" s="10">
        <v>94.34</v>
      </c>
      <c r="Z60" s="10">
        <v>93.31</v>
      </c>
      <c r="AA60" s="10">
        <v>94.02</v>
      </c>
      <c r="AB60" s="95">
        <v>6647000</v>
      </c>
      <c r="AC60" s="10">
        <v>93.3</v>
      </c>
      <c r="AD60" s="2">
        <f t="shared" si="0"/>
        <v>1.0300000000000011</v>
      </c>
      <c r="AE60" s="138">
        <f t="shared" si="1"/>
        <v>5.6046561759000024E-3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96.894000000000005</v>
      </c>
      <c r="W61" s="133">
        <v>42669</v>
      </c>
      <c r="X61" s="10">
        <v>92.39</v>
      </c>
      <c r="Y61" s="10">
        <v>93.72</v>
      </c>
      <c r="Z61" s="10">
        <v>91.9</v>
      </c>
      <c r="AA61" s="10">
        <v>93.49</v>
      </c>
      <c r="AB61" s="95">
        <v>7152800</v>
      </c>
      <c r="AC61" s="10">
        <v>92.78</v>
      </c>
      <c r="AD61" s="2">
        <f t="shared" si="0"/>
        <v>1.8199999999999932</v>
      </c>
      <c r="AE61" s="138">
        <f t="shared" si="1"/>
        <v>8.0399826162538268E-3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42668</v>
      </c>
      <c r="X62" s="10">
        <v>93.14</v>
      </c>
      <c r="Y62" s="10">
        <v>93.36</v>
      </c>
      <c r="Z62" s="10">
        <v>92.64</v>
      </c>
      <c r="AA62" s="10">
        <v>92.75</v>
      </c>
      <c r="AB62" s="95">
        <v>6380700</v>
      </c>
      <c r="AC62" s="10">
        <v>92.04</v>
      </c>
      <c r="AD62" s="2">
        <f t="shared" si="0"/>
        <v>0.71999999999999886</v>
      </c>
      <c r="AE62" s="138">
        <f t="shared" si="1"/>
        <v>-6.6911288581911199E-3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42667</v>
      </c>
      <c r="X63" s="10">
        <v>93.49</v>
      </c>
      <c r="Y63" s="10">
        <v>94.15</v>
      </c>
      <c r="Z63" s="10">
        <v>92.8</v>
      </c>
      <c r="AA63" s="10">
        <v>93.37</v>
      </c>
      <c r="AB63" s="95">
        <v>7281000</v>
      </c>
      <c r="AC63" s="10">
        <v>92.66</v>
      </c>
      <c r="AD63" s="2">
        <f t="shared" si="0"/>
        <v>1.3500000000000085</v>
      </c>
      <c r="AE63" s="138">
        <f t="shared" si="1"/>
        <v>3.6828422876951095E-3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42664</v>
      </c>
      <c r="X64" s="10">
        <v>91.33</v>
      </c>
      <c r="Y64" s="10">
        <v>94.19</v>
      </c>
      <c r="Z64" s="10">
        <v>90.6</v>
      </c>
      <c r="AA64" s="10">
        <v>93.03</v>
      </c>
      <c r="AB64" s="95">
        <v>13814500</v>
      </c>
      <c r="AC64" s="10">
        <v>92.32</v>
      </c>
      <c r="AD64" s="2">
        <f t="shared" si="0"/>
        <v>3.5900000000000034</v>
      </c>
      <c r="AE64" s="138">
        <f t="shared" si="1"/>
        <v>1.0839811671958799E-2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42663</v>
      </c>
      <c r="X65" s="10">
        <v>91.66</v>
      </c>
      <c r="Y65" s="10">
        <v>92.32</v>
      </c>
      <c r="Z65" s="10">
        <v>91.44</v>
      </c>
      <c r="AA65" s="10">
        <v>92.03</v>
      </c>
      <c r="AB65" s="95">
        <v>6153200</v>
      </c>
      <c r="AC65" s="10">
        <v>91.33</v>
      </c>
      <c r="AD65" s="2">
        <f t="shared" si="0"/>
        <v>0.87999999999999545</v>
      </c>
      <c r="AE65" s="138">
        <f t="shared" si="1"/>
        <v>1.0961306587744524E-3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42662</v>
      </c>
      <c r="X66" s="10">
        <v>91.27</v>
      </c>
      <c r="Y66" s="10">
        <v>92.14</v>
      </c>
      <c r="Z66" s="10">
        <v>91</v>
      </c>
      <c r="AA66" s="10">
        <v>91.93</v>
      </c>
      <c r="AB66" s="95">
        <v>6140500</v>
      </c>
      <c r="AC66" s="10">
        <v>91.23</v>
      </c>
      <c r="AD66" s="2">
        <f t="shared" si="0"/>
        <v>1.1400000000000006</v>
      </c>
      <c r="AE66" s="138">
        <f t="shared" si="1"/>
        <v>8.4005747761688454E-3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91.4</v>
      </c>
      <c r="Y67" s="10">
        <v>91.74</v>
      </c>
      <c r="Z67" s="10">
        <v>90.98</v>
      </c>
      <c r="AA67" s="10">
        <v>91.17</v>
      </c>
      <c r="AB67" s="95">
        <v>4890800</v>
      </c>
      <c r="AC67" s="10">
        <v>90.47</v>
      </c>
      <c r="AD67" s="2">
        <f>Y67-Z67</f>
        <v>0.75999999999999091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91.35</v>
      </c>
      <c r="Y68" s="10">
        <v>91.47</v>
      </c>
      <c r="Z68" s="10">
        <v>90.56</v>
      </c>
      <c r="AA68" s="10">
        <v>90.83</v>
      </c>
      <c r="AB68" s="95">
        <v>5134600</v>
      </c>
      <c r="AC68" s="10">
        <v>90.14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199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0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1500</v>
      </c>
      <c r="T2" s="1"/>
      <c r="W2" s="110">
        <v>42755</v>
      </c>
      <c r="X2" s="9">
        <v>3.49</v>
      </c>
      <c r="Y2" s="9">
        <v>3.53</v>
      </c>
      <c r="Z2" s="9">
        <v>3.41</v>
      </c>
      <c r="AA2" s="9">
        <v>3.49</v>
      </c>
      <c r="AB2" s="104">
        <v>18377200</v>
      </c>
      <c r="AC2" s="9">
        <v>3.49</v>
      </c>
      <c r="AD2" s="40">
        <f>Y2-Z2</f>
        <v>0.11999999999999966</v>
      </c>
      <c r="AE2" s="162">
        <f>AC2/AC3-1</f>
        <v>2.8735632183909399E-3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3.4024599999999992</v>
      </c>
      <c r="T3" s="1"/>
      <c r="W3" s="110">
        <v>42754</v>
      </c>
      <c r="X3" s="9">
        <v>3.52</v>
      </c>
      <c r="Y3" s="9">
        <v>3.54</v>
      </c>
      <c r="Z3" s="9">
        <v>3.41</v>
      </c>
      <c r="AA3" s="9">
        <v>3.48</v>
      </c>
      <c r="AB3" s="104">
        <v>18512500</v>
      </c>
      <c r="AC3" s="9">
        <v>3.48</v>
      </c>
      <c r="AD3" s="40">
        <f t="shared" ref="AD3:AD66" si="2">Y3-Z3</f>
        <v>0.12999999999999989</v>
      </c>
      <c r="AE3" s="162">
        <f t="shared" ref="AE3:AE66" si="3">AC3/AC4-1</f>
        <v>-1.6949152542372947E-2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3.49</v>
      </c>
      <c r="R4" s="505">
        <v>2.8999999999999998E-3</v>
      </c>
      <c r="T4" s="163"/>
      <c r="W4" s="110">
        <v>42753</v>
      </c>
      <c r="X4" s="9">
        <v>3.57</v>
      </c>
      <c r="Y4" s="9">
        <v>3.59</v>
      </c>
      <c r="Z4" s="9">
        <v>3.51</v>
      </c>
      <c r="AA4" s="9">
        <v>3.54</v>
      </c>
      <c r="AB4" s="104">
        <v>8947600</v>
      </c>
      <c r="AC4" s="9">
        <v>3.54</v>
      </c>
      <c r="AD4" s="40">
        <f t="shared" si="2"/>
        <v>8.0000000000000071E-2</v>
      </c>
      <c r="AE4" s="162">
        <f t="shared" si="3"/>
        <v>-2.8169014084505895E-3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5235</v>
      </c>
      <c r="W5" s="110">
        <v>42752</v>
      </c>
      <c r="X5" s="9">
        <v>3.55</v>
      </c>
      <c r="Y5" s="9">
        <v>3.57</v>
      </c>
      <c r="Z5" s="9">
        <v>3.51</v>
      </c>
      <c r="AA5" s="9">
        <v>3.55</v>
      </c>
      <c r="AB5" s="104">
        <v>9701200</v>
      </c>
      <c r="AC5" s="9">
        <v>3.55</v>
      </c>
      <c r="AD5" s="40">
        <f t="shared" si="2"/>
        <v>6.0000000000000053E-2</v>
      </c>
      <c r="AE5" s="162">
        <f t="shared" si="3"/>
        <v>2.8248587570620654E-3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5103.6899999999987</v>
      </c>
      <c r="W6" s="110">
        <v>42748</v>
      </c>
      <c r="X6" s="9">
        <v>3.53</v>
      </c>
      <c r="Y6" s="9">
        <v>3.57</v>
      </c>
      <c r="Z6" s="9">
        <v>3.52</v>
      </c>
      <c r="AA6" s="9">
        <v>3.54</v>
      </c>
      <c r="AB6" s="104">
        <v>8053400</v>
      </c>
      <c r="AC6" s="9">
        <v>3.54</v>
      </c>
      <c r="AD6" s="40">
        <f t="shared" si="2"/>
        <v>4.9999999999999822E-2</v>
      </c>
      <c r="AE6" s="162">
        <f t="shared" si="3"/>
        <v>2.8328611898018607E-3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566.2400000000016</v>
      </c>
      <c r="R7">
        <v>1100</v>
      </c>
      <c r="W7" s="110">
        <v>42747</v>
      </c>
      <c r="X7" s="9">
        <v>3.61</v>
      </c>
      <c r="Y7" s="9">
        <v>3.62</v>
      </c>
      <c r="Z7" s="9">
        <v>3.5</v>
      </c>
      <c r="AA7" s="9">
        <v>3.53</v>
      </c>
      <c r="AB7" s="104">
        <v>17894300</v>
      </c>
      <c r="AC7" s="9">
        <v>3.53</v>
      </c>
      <c r="AD7" s="40">
        <f t="shared" si="2"/>
        <v>0.12000000000000011</v>
      </c>
      <c r="AE7" s="162">
        <f t="shared" si="3"/>
        <v>-2.2160664819944609E-2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131.31000000000131</v>
      </c>
      <c r="W8" s="110">
        <v>42746</v>
      </c>
      <c r="X8" s="9">
        <v>3.63</v>
      </c>
      <c r="Y8" s="9">
        <v>3.7</v>
      </c>
      <c r="Z8" s="9">
        <v>3.55</v>
      </c>
      <c r="AA8" s="9">
        <v>3.61</v>
      </c>
      <c r="AB8" s="104">
        <v>14853600</v>
      </c>
      <c r="AC8" s="9">
        <v>3.61</v>
      </c>
      <c r="AD8" s="40">
        <f t="shared" si="2"/>
        <v>0.15000000000000036</v>
      </c>
      <c r="AE8" s="162">
        <f t="shared" si="3"/>
        <v>-5.5096418732782926E-3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215</v>
      </c>
      <c r="Q9" s="138">
        <f>IF(Q2=0, 0, Q8/Q6)</f>
        <v>2.572844353791107E-2</v>
      </c>
      <c r="W9" s="110">
        <v>42745</v>
      </c>
      <c r="X9" s="9">
        <v>3.69</v>
      </c>
      <c r="Y9" s="9">
        <v>3.71</v>
      </c>
      <c r="Z9" s="9">
        <v>3.61</v>
      </c>
      <c r="AA9" s="9">
        <v>3.63</v>
      </c>
      <c r="AB9" s="104">
        <v>18368300</v>
      </c>
      <c r="AC9" s="9">
        <v>3.63</v>
      </c>
      <c r="AD9" s="40">
        <f t="shared" si="2"/>
        <v>0.10000000000000009</v>
      </c>
      <c r="AE9" s="162">
        <f t="shared" si="3"/>
        <v>-1.3586956521739246E-2</v>
      </c>
    </row>
    <row r="10" spans="1:31" x14ac:dyDescent="0.25">
      <c r="B10" s="503">
        <v>42754</v>
      </c>
      <c r="C10" s="4">
        <v>400</v>
      </c>
      <c r="D10" s="2">
        <v>3.42</v>
      </c>
      <c r="E10" s="2">
        <v>0</v>
      </c>
      <c r="F10" s="2">
        <f t="shared" si="0"/>
        <v>1368</v>
      </c>
      <c r="O10" s="11" t="s">
        <v>214</v>
      </c>
      <c r="P10" s="34"/>
      <c r="Q10" s="2">
        <f>M68</f>
        <v>434.93000000000029</v>
      </c>
      <c r="W10" s="110">
        <v>42744</v>
      </c>
      <c r="X10" s="9">
        <v>3.76</v>
      </c>
      <c r="Y10" s="9">
        <v>3.79</v>
      </c>
      <c r="Z10" s="9">
        <v>3.62</v>
      </c>
      <c r="AA10" s="9">
        <v>3.68</v>
      </c>
      <c r="AB10" s="104">
        <v>32815300</v>
      </c>
      <c r="AC10" s="9">
        <v>3.68</v>
      </c>
      <c r="AD10" s="40">
        <f t="shared" si="2"/>
        <v>0.16999999999999993</v>
      </c>
      <c r="AE10" s="162">
        <f t="shared" si="3"/>
        <v>-1.8666666666666609E-2</v>
      </c>
    </row>
    <row r="11" spans="1:31" x14ac:dyDescent="0.25">
      <c r="O11" s="11" t="s">
        <v>179</v>
      </c>
      <c r="P11" s="34"/>
      <c r="Q11" s="138">
        <f>VALUE(TRIM(CLEAN(MID(U58, FIND("(", U58)+1, 6))))</f>
        <v>0.1203</v>
      </c>
      <c r="W11" s="110">
        <v>42741</v>
      </c>
      <c r="X11" s="9">
        <v>3.75</v>
      </c>
      <c r="Y11" s="9">
        <v>3.82</v>
      </c>
      <c r="Z11" s="9">
        <v>3.65</v>
      </c>
      <c r="AA11" s="9">
        <v>3.75</v>
      </c>
      <c r="AB11" s="104">
        <v>57214700</v>
      </c>
      <c r="AC11" s="9">
        <v>3.75</v>
      </c>
      <c r="AD11" s="40">
        <f t="shared" si="2"/>
        <v>0.16999999999999993</v>
      </c>
      <c r="AE11" s="162">
        <f t="shared" si="3"/>
        <v>5.3619302949061698E-3</v>
      </c>
    </row>
    <row r="12" spans="1:31" x14ac:dyDescent="0.25">
      <c r="W12" s="110">
        <v>42740</v>
      </c>
      <c r="X12" s="9">
        <v>3.69</v>
      </c>
      <c r="Y12" s="9">
        <v>3.76</v>
      </c>
      <c r="Z12" s="9">
        <v>3.66</v>
      </c>
      <c r="AA12" s="9">
        <v>3.73</v>
      </c>
      <c r="AB12" s="104">
        <v>40947600</v>
      </c>
      <c r="AC12" s="9">
        <v>3.73</v>
      </c>
      <c r="AD12" s="40">
        <f t="shared" si="2"/>
        <v>9.9999999999999645E-2</v>
      </c>
      <c r="AE12" s="162">
        <f t="shared" si="3"/>
        <v>1.6348773841961872E-2</v>
      </c>
    </row>
    <row r="13" spans="1:31" x14ac:dyDescent="0.25">
      <c r="W13" s="110">
        <v>42739</v>
      </c>
      <c r="X13" s="9">
        <v>3.6</v>
      </c>
      <c r="Y13" s="9">
        <v>3.67</v>
      </c>
      <c r="Z13" s="9">
        <v>3.58</v>
      </c>
      <c r="AA13" s="9">
        <v>3.67</v>
      </c>
      <c r="AB13" s="104">
        <v>24640300</v>
      </c>
      <c r="AC13" s="9">
        <v>3.67</v>
      </c>
      <c r="AD13" s="40">
        <f t="shared" si="2"/>
        <v>8.9999999999999858E-2</v>
      </c>
      <c r="AE13" s="162">
        <f t="shared" si="3"/>
        <v>2.5139664804469275E-2</v>
      </c>
    </row>
    <row r="14" spans="1:31" x14ac:dyDescent="0.25">
      <c r="W14" s="110">
        <v>42738</v>
      </c>
      <c r="X14" s="9">
        <v>3.4</v>
      </c>
      <c r="Y14" s="9">
        <v>3.6</v>
      </c>
      <c r="Z14" s="9">
        <v>3.39</v>
      </c>
      <c r="AA14" s="9">
        <v>3.58</v>
      </c>
      <c r="AB14" s="104">
        <v>34407600</v>
      </c>
      <c r="AC14" s="9">
        <v>3.58</v>
      </c>
      <c r="AD14" s="40">
        <f t="shared" si="2"/>
        <v>0.20999999999999996</v>
      </c>
      <c r="AE14" s="162">
        <f t="shared" si="3"/>
        <v>5.9171597633136175E-2</v>
      </c>
    </row>
    <row r="15" spans="1:31" x14ac:dyDescent="0.25">
      <c r="W15" s="110">
        <v>42734</v>
      </c>
      <c r="X15" s="9">
        <v>3.38</v>
      </c>
      <c r="Y15" s="9">
        <v>3.42</v>
      </c>
      <c r="Z15" s="9">
        <v>3.35</v>
      </c>
      <c r="AA15" s="9">
        <v>3.38</v>
      </c>
      <c r="AB15" s="104">
        <v>20394600</v>
      </c>
      <c r="AC15" s="9">
        <v>3.38</v>
      </c>
      <c r="AD15" s="40">
        <f t="shared" si="2"/>
        <v>6.999999999999984E-2</v>
      </c>
      <c r="AE15" s="162">
        <f t="shared" si="3"/>
        <v>5.9523809523809312E-3</v>
      </c>
    </row>
    <row r="16" spans="1:31" x14ac:dyDescent="0.25">
      <c r="W16" s="110">
        <v>42733</v>
      </c>
      <c r="X16" s="9">
        <v>3.27</v>
      </c>
      <c r="Y16" s="9">
        <v>3.41</v>
      </c>
      <c r="Z16" s="9">
        <v>3.27</v>
      </c>
      <c r="AA16" s="9">
        <v>3.36</v>
      </c>
      <c r="AB16" s="104">
        <v>15739800</v>
      </c>
      <c r="AC16" s="9">
        <v>3.36</v>
      </c>
      <c r="AD16" s="40">
        <f t="shared" si="2"/>
        <v>0.14000000000000012</v>
      </c>
      <c r="AE16" s="162">
        <f t="shared" si="3"/>
        <v>2.9850746268655914E-3</v>
      </c>
    </row>
    <row r="17" spans="1:31" x14ac:dyDescent="0.25">
      <c r="H17" s="72"/>
      <c r="W17" s="110">
        <v>42732</v>
      </c>
      <c r="X17" s="9">
        <v>3.42</v>
      </c>
      <c r="Y17" s="9">
        <v>3.44</v>
      </c>
      <c r="Z17" s="9">
        <v>3.34</v>
      </c>
      <c r="AA17" s="9">
        <v>3.35</v>
      </c>
      <c r="AB17" s="104">
        <v>13382600</v>
      </c>
      <c r="AC17" s="9">
        <v>3.35</v>
      </c>
      <c r="AD17" s="40">
        <f t="shared" si="2"/>
        <v>0.10000000000000009</v>
      </c>
      <c r="AE17" s="162">
        <f t="shared" si="3"/>
        <v>-2.0467836257309857E-2</v>
      </c>
    </row>
    <row r="18" spans="1:31" x14ac:dyDescent="0.25">
      <c r="A18" s="32" t="s">
        <v>81</v>
      </c>
      <c r="B18" s="14"/>
      <c r="C18" s="14">
        <f>SUM(C2:C17)</f>
        <v>3800</v>
      </c>
      <c r="D18" s="18"/>
      <c r="E18" s="18"/>
      <c r="F18" s="18">
        <f>SUM(F2:F17)</f>
        <v>14012</v>
      </c>
      <c r="G18" s="14"/>
      <c r="H18" s="14">
        <f>SUM(H2:H8)</f>
        <v>2300</v>
      </c>
      <c r="I18" s="18"/>
      <c r="J18" s="18"/>
      <c r="K18" s="18">
        <f>SUM(K2:K8)</f>
        <v>8792.8100000000013</v>
      </c>
      <c r="L18" s="14"/>
      <c r="M18" s="18">
        <f>SUM(M2:M5)</f>
        <v>115.5</v>
      </c>
      <c r="W18" s="110">
        <v>42731</v>
      </c>
      <c r="X18" s="9">
        <v>3.42</v>
      </c>
      <c r="Y18" s="9">
        <v>3.46</v>
      </c>
      <c r="Z18" s="9">
        <v>3.4</v>
      </c>
      <c r="AA18" s="9">
        <v>3.42</v>
      </c>
      <c r="AB18" s="104">
        <v>11287900</v>
      </c>
      <c r="AC18" s="9">
        <v>3.42</v>
      </c>
      <c r="AD18" s="40">
        <f t="shared" si="2"/>
        <v>6.0000000000000053E-2</v>
      </c>
      <c r="AE18" s="162">
        <f t="shared" si="3"/>
        <v>0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7">
        <f>SumByColor($A$19,M2:M17)</f>
        <v>116</v>
      </c>
      <c r="W19" s="110">
        <v>42727</v>
      </c>
      <c r="X19" s="9">
        <v>3.32</v>
      </c>
      <c r="Y19" s="9">
        <v>3.44</v>
      </c>
      <c r="Z19" s="9">
        <v>3.32</v>
      </c>
      <c r="AA19" s="9">
        <v>3.42</v>
      </c>
      <c r="AB19" s="104">
        <v>12705300</v>
      </c>
      <c r="AC19" s="9">
        <v>3.42</v>
      </c>
      <c r="AD19" s="40">
        <f t="shared" si="2"/>
        <v>0.12000000000000011</v>
      </c>
      <c r="AE19" s="162">
        <f t="shared" si="3"/>
        <v>2.39520958083832E-2</v>
      </c>
    </row>
    <row r="20" spans="1:31" x14ac:dyDescent="0.25">
      <c r="W20" s="110">
        <v>42726</v>
      </c>
      <c r="X20" s="9">
        <v>3.32</v>
      </c>
      <c r="Y20" s="9">
        <v>3.42</v>
      </c>
      <c r="Z20" s="9">
        <v>3.3</v>
      </c>
      <c r="AA20" s="9">
        <v>3.34</v>
      </c>
      <c r="AB20" s="104">
        <v>15337700</v>
      </c>
      <c r="AC20" s="9">
        <v>3.34</v>
      </c>
      <c r="AD20" s="40">
        <f t="shared" si="2"/>
        <v>0.12000000000000011</v>
      </c>
      <c r="AE20" s="162">
        <f t="shared" si="3"/>
        <v>1.5197568389057725E-2</v>
      </c>
    </row>
    <row r="21" spans="1:31" x14ac:dyDescent="0.25">
      <c r="W21" s="110">
        <v>42725</v>
      </c>
      <c r="X21" s="9">
        <v>3.47</v>
      </c>
      <c r="Y21" s="9">
        <v>3.47</v>
      </c>
      <c r="Z21" s="9">
        <v>3.28</v>
      </c>
      <c r="AA21" s="9">
        <v>3.29</v>
      </c>
      <c r="AB21" s="104">
        <v>31544700</v>
      </c>
      <c r="AC21" s="9">
        <v>3.29</v>
      </c>
      <c r="AD21" s="40">
        <f t="shared" si="2"/>
        <v>0.19000000000000039</v>
      </c>
      <c r="AE21" s="162">
        <f t="shared" si="3"/>
        <v>-4.6376811594202927E-2</v>
      </c>
    </row>
    <row r="22" spans="1:31" x14ac:dyDescent="0.25">
      <c r="W22" s="110">
        <v>42724</v>
      </c>
      <c r="X22" s="9">
        <v>3.57</v>
      </c>
      <c r="Y22" s="9">
        <v>3.57</v>
      </c>
      <c r="Z22" s="9">
        <v>3.43</v>
      </c>
      <c r="AA22" s="9">
        <v>3.45</v>
      </c>
      <c r="AB22" s="104">
        <v>16142900</v>
      </c>
      <c r="AC22" s="9">
        <v>3.45</v>
      </c>
      <c r="AD22" s="40">
        <f t="shared" si="2"/>
        <v>0.13999999999999968</v>
      </c>
      <c r="AE22" s="162">
        <f t="shared" si="3"/>
        <v>-3.3613445378151141E-2</v>
      </c>
    </row>
    <row r="23" spans="1:31" x14ac:dyDescent="0.25">
      <c r="W23" s="110">
        <v>42723</v>
      </c>
      <c r="X23" s="9">
        <v>3.53</v>
      </c>
      <c r="Y23" s="9">
        <v>3.59</v>
      </c>
      <c r="Z23" s="9">
        <v>3.5</v>
      </c>
      <c r="AA23" s="9">
        <v>3.57</v>
      </c>
      <c r="AB23" s="104">
        <v>15160300</v>
      </c>
      <c r="AC23" s="9">
        <v>3.57</v>
      </c>
      <c r="AD23" s="40">
        <f t="shared" si="2"/>
        <v>8.9999999999999858E-2</v>
      </c>
      <c r="AE23" s="162">
        <f t="shared" si="3"/>
        <v>2.8089887640447841E-3</v>
      </c>
    </row>
    <row r="24" spans="1:31" x14ac:dyDescent="0.25">
      <c r="W24" s="110">
        <v>42720</v>
      </c>
      <c r="X24" s="9">
        <v>3.5</v>
      </c>
      <c r="Y24" s="9">
        <v>3.57</v>
      </c>
      <c r="Z24" s="9">
        <v>3.41</v>
      </c>
      <c r="AA24" s="9">
        <v>3.56</v>
      </c>
      <c r="AB24" s="104">
        <v>93389600</v>
      </c>
      <c r="AC24" s="9">
        <v>3.56</v>
      </c>
      <c r="AD24" s="40">
        <f t="shared" si="2"/>
        <v>0.1599999999999997</v>
      </c>
      <c r="AE24" s="162">
        <f t="shared" si="3"/>
        <v>2.005730659025784E-2</v>
      </c>
    </row>
    <row r="25" spans="1:31" x14ac:dyDescent="0.25">
      <c r="W25" s="110">
        <v>42719</v>
      </c>
      <c r="X25" s="9">
        <v>3.42</v>
      </c>
      <c r="Y25" s="9">
        <v>3.5</v>
      </c>
      <c r="Z25" s="9">
        <v>3.4</v>
      </c>
      <c r="AA25" s="9">
        <v>3.49</v>
      </c>
      <c r="AB25" s="104">
        <v>12778100</v>
      </c>
      <c r="AC25" s="9">
        <v>3.49</v>
      </c>
      <c r="AD25" s="40">
        <f t="shared" si="2"/>
        <v>0.10000000000000009</v>
      </c>
      <c r="AE25" s="162">
        <f t="shared" si="3"/>
        <v>1.4534883720930258E-2</v>
      </c>
    </row>
    <row r="26" spans="1:31" x14ac:dyDescent="0.25">
      <c r="W26" s="110">
        <v>42718</v>
      </c>
      <c r="X26" s="9">
        <v>3.45</v>
      </c>
      <c r="Y26" s="9">
        <v>3.5</v>
      </c>
      <c r="Z26" s="9">
        <v>3.39</v>
      </c>
      <c r="AA26" s="9">
        <v>3.44</v>
      </c>
      <c r="AB26" s="104">
        <v>15035400</v>
      </c>
      <c r="AC26" s="9">
        <v>3.44</v>
      </c>
      <c r="AD26" s="40">
        <f t="shared" si="2"/>
        <v>0.10999999999999988</v>
      </c>
      <c r="AE26" s="162">
        <f t="shared" si="3"/>
        <v>-2.8985507246377384E-3</v>
      </c>
    </row>
    <row r="27" spans="1:31" x14ac:dyDescent="0.25">
      <c r="W27" s="110">
        <v>42717</v>
      </c>
      <c r="X27" s="9">
        <v>3.39</v>
      </c>
      <c r="Y27" s="9">
        <v>3.53</v>
      </c>
      <c r="Z27" s="9">
        <v>3.35</v>
      </c>
      <c r="AA27" s="9">
        <v>3.45</v>
      </c>
      <c r="AB27" s="104">
        <v>21984100</v>
      </c>
      <c r="AC27" s="9">
        <v>3.45</v>
      </c>
      <c r="AD27" s="40">
        <f t="shared" si="2"/>
        <v>0.17999999999999972</v>
      </c>
      <c r="AE27" s="162" t="e">
        <f t="shared" si="3"/>
        <v>#DIV/0!</v>
      </c>
    </row>
    <row r="28" spans="1:31" x14ac:dyDescent="0.25">
      <c r="W28" s="110">
        <v>42717</v>
      </c>
      <c r="X28" s="9" t="s">
        <v>172</v>
      </c>
      <c r="Y28" s="9"/>
      <c r="Z28" s="9"/>
      <c r="AA28" s="9"/>
      <c r="AB28" s="104"/>
      <c r="AC28" s="9"/>
      <c r="AD28" s="40">
        <f t="shared" si="2"/>
        <v>0</v>
      </c>
      <c r="AE28" s="162">
        <f t="shared" si="3"/>
        <v>-1</v>
      </c>
    </row>
    <row r="29" spans="1:31" x14ac:dyDescent="0.25">
      <c r="W29" s="110">
        <v>42716</v>
      </c>
      <c r="X29" s="9">
        <v>3.68</v>
      </c>
      <c r="Y29" s="9">
        <v>3.7</v>
      </c>
      <c r="Z29" s="9">
        <v>3.47</v>
      </c>
      <c r="AA29" s="9">
        <v>3.49</v>
      </c>
      <c r="AB29" s="104">
        <v>28424200</v>
      </c>
      <c r="AC29" s="9">
        <v>3.39</v>
      </c>
      <c r="AD29" s="40">
        <f t="shared" si="2"/>
        <v>0.22999999999999998</v>
      </c>
      <c r="AE29" s="162">
        <f t="shared" si="3"/>
        <v>-4.7752808988763995E-2</v>
      </c>
    </row>
    <row r="30" spans="1:31" x14ac:dyDescent="0.25">
      <c r="W30" s="110">
        <v>42713</v>
      </c>
      <c r="X30" s="9">
        <v>3.69</v>
      </c>
      <c r="Y30" s="9">
        <v>3.72</v>
      </c>
      <c r="Z30" s="9">
        <v>3.63</v>
      </c>
      <c r="AA30" s="9">
        <v>3.67</v>
      </c>
      <c r="AB30" s="104">
        <v>20546900</v>
      </c>
      <c r="AC30" s="9">
        <v>3.56</v>
      </c>
      <c r="AD30" s="40">
        <f t="shared" si="2"/>
        <v>9.0000000000000302E-2</v>
      </c>
      <c r="AE30" s="162">
        <f t="shared" si="3"/>
        <v>-8.3565459610027704E-3</v>
      </c>
    </row>
    <row r="31" spans="1:31" x14ac:dyDescent="0.25">
      <c r="W31" s="110">
        <v>42712</v>
      </c>
      <c r="X31" s="9">
        <v>3.65</v>
      </c>
      <c r="Y31" s="9">
        <v>3.73</v>
      </c>
      <c r="Z31" s="9">
        <v>3.63</v>
      </c>
      <c r="AA31" s="9">
        <v>3.7</v>
      </c>
      <c r="AB31" s="104">
        <v>18816200</v>
      </c>
      <c r="AC31" s="9">
        <v>3.59</v>
      </c>
      <c r="AD31" s="40">
        <f t="shared" si="2"/>
        <v>0.10000000000000009</v>
      </c>
      <c r="AE31" s="162">
        <f t="shared" si="3"/>
        <v>2.8653295128939771E-2</v>
      </c>
    </row>
    <row r="32" spans="1:31" x14ac:dyDescent="0.25">
      <c r="W32" s="110">
        <v>42711</v>
      </c>
      <c r="X32" s="9">
        <v>3.53</v>
      </c>
      <c r="Y32" s="9">
        <v>3.69</v>
      </c>
      <c r="Z32" s="9">
        <v>3.53</v>
      </c>
      <c r="AA32" s="9">
        <v>3.6</v>
      </c>
      <c r="AB32" s="104">
        <v>22919100</v>
      </c>
      <c r="AC32" s="9">
        <v>3.49</v>
      </c>
      <c r="AD32" s="40">
        <f t="shared" si="2"/>
        <v>0.16000000000000014</v>
      </c>
      <c r="AE32" s="162">
        <f t="shared" si="3"/>
        <v>2.0467836257310079E-2</v>
      </c>
    </row>
    <row r="33" spans="2:31" x14ac:dyDescent="0.25">
      <c r="W33" s="110">
        <v>42710</v>
      </c>
      <c r="X33" s="9">
        <v>3.46</v>
      </c>
      <c r="Y33" s="9">
        <v>3.53</v>
      </c>
      <c r="Z33" s="9">
        <v>3.41</v>
      </c>
      <c r="AA33" s="9">
        <v>3.53</v>
      </c>
      <c r="AB33" s="104">
        <v>17303500</v>
      </c>
      <c r="AC33" s="9">
        <v>3.42</v>
      </c>
      <c r="AD33" s="40">
        <f t="shared" si="2"/>
        <v>0.11999999999999966</v>
      </c>
      <c r="AE33" s="162">
        <f t="shared" si="3"/>
        <v>3.0120481927710774E-2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3.51</v>
      </c>
      <c r="Y34" s="9">
        <v>3.6</v>
      </c>
      <c r="Z34" s="9">
        <v>3.35</v>
      </c>
      <c r="AA34" s="9">
        <v>3.42</v>
      </c>
      <c r="AB34" s="104">
        <v>30097600</v>
      </c>
      <c r="AC34" s="9">
        <v>3.32</v>
      </c>
      <c r="AD34" s="40">
        <f t="shared" si="2"/>
        <v>0.25</v>
      </c>
      <c r="AE34" s="162">
        <f t="shared" si="3"/>
        <v>-1.7751479289940808E-2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42706</v>
      </c>
      <c r="X35" s="9">
        <v>3.53</v>
      </c>
      <c r="Y35" s="9">
        <v>3.55</v>
      </c>
      <c r="Z35" s="9">
        <v>3.46</v>
      </c>
      <c r="AA35" s="9">
        <v>3.48</v>
      </c>
      <c r="AB35" s="104">
        <v>14274000</v>
      </c>
      <c r="AC35" s="9">
        <v>3.38</v>
      </c>
      <c r="AD35" s="40">
        <f t="shared" si="2"/>
        <v>8.9999999999999858E-2</v>
      </c>
      <c r="AE35" s="162">
        <f t="shared" si="3"/>
        <v>-5.8823529411764497E-3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42705</v>
      </c>
      <c r="X36" s="9">
        <v>3.63</v>
      </c>
      <c r="Y36" s="9">
        <v>3.68</v>
      </c>
      <c r="Z36" s="9">
        <v>3.48</v>
      </c>
      <c r="AA36" s="9">
        <v>3.51</v>
      </c>
      <c r="AB36" s="104">
        <v>21100400</v>
      </c>
      <c r="AC36" s="9">
        <v>3.4</v>
      </c>
      <c r="AD36" s="40">
        <f t="shared" si="2"/>
        <v>0.20000000000000018</v>
      </c>
      <c r="AE36" s="162">
        <f t="shared" si="3"/>
        <v>-3.9548022598870136E-2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42704</v>
      </c>
      <c r="X37" s="9">
        <v>3.67</v>
      </c>
      <c r="Y37" s="9">
        <v>3.73</v>
      </c>
      <c r="Z37" s="9">
        <v>3.64</v>
      </c>
      <c r="AA37" s="9">
        <v>3.65</v>
      </c>
      <c r="AB37" s="104">
        <v>18109000</v>
      </c>
      <c r="AC37" s="9">
        <v>3.54</v>
      </c>
      <c r="AD37" s="40">
        <f t="shared" si="2"/>
        <v>8.9999999999999858E-2</v>
      </c>
      <c r="AE37" s="162">
        <f t="shared" si="3"/>
        <v>-5.6179775280899014E-3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42703</v>
      </c>
      <c r="X38" s="9">
        <v>3.74</v>
      </c>
      <c r="Y38" s="9">
        <v>3.76</v>
      </c>
      <c r="Z38" s="9">
        <v>3.66</v>
      </c>
      <c r="AA38" s="9">
        <v>3.67</v>
      </c>
      <c r="AB38" s="104">
        <v>12998900</v>
      </c>
      <c r="AC38" s="9">
        <v>3.56</v>
      </c>
      <c r="AD38" s="40">
        <f t="shared" si="2"/>
        <v>9.9999999999999645E-2</v>
      </c>
      <c r="AE38" s="162">
        <f t="shared" si="3"/>
        <v>-1.9283746556473802E-2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42702</v>
      </c>
      <c r="X39" s="9">
        <v>3.67</v>
      </c>
      <c r="Y39" s="9">
        <v>3.78</v>
      </c>
      <c r="Z39" s="9">
        <v>3.67</v>
      </c>
      <c r="AA39" s="9">
        <v>3.74</v>
      </c>
      <c r="AB39" s="104">
        <v>16108400</v>
      </c>
      <c r="AC39" s="9">
        <v>3.63</v>
      </c>
      <c r="AD39" s="40">
        <f t="shared" si="2"/>
        <v>0.10999999999999988</v>
      </c>
      <c r="AE39" s="162">
        <f t="shared" si="3"/>
        <v>1.3966480446927276E-2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2" t="s">
        <v>78</v>
      </c>
      <c r="P40" s="632"/>
      <c r="W40" s="110">
        <v>42699</v>
      </c>
      <c r="X40" s="9">
        <v>3.63</v>
      </c>
      <c r="Y40" s="9">
        <v>3.7</v>
      </c>
      <c r="Z40" s="9">
        <v>3.62</v>
      </c>
      <c r="AA40" s="9">
        <v>3.69</v>
      </c>
      <c r="AB40" s="104">
        <v>5704100</v>
      </c>
      <c r="AC40" s="9">
        <v>3.58</v>
      </c>
      <c r="AD40" s="40">
        <f t="shared" si="2"/>
        <v>8.0000000000000071E-2</v>
      </c>
      <c r="AE40" s="162">
        <f t="shared" si="3"/>
        <v>1.9943019943019946E-2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3.8390000000000004</v>
      </c>
      <c r="Q41" s="2"/>
      <c r="W41" s="110">
        <v>42697</v>
      </c>
      <c r="X41" s="9">
        <v>3.55</v>
      </c>
      <c r="Y41" s="9">
        <v>3.62</v>
      </c>
      <c r="Z41" s="9">
        <v>3.55</v>
      </c>
      <c r="AA41" s="9">
        <v>3.62</v>
      </c>
      <c r="AB41" s="104">
        <v>10192600</v>
      </c>
      <c r="AC41" s="9">
        <v>3.51</v>
      </c>
      <c r="AD41" s="40">
        <f t="shared" si="2"/>
        <v>7.0000000000000284E-2</v>
      </c>
      <c r="AE41" s="162">
        <f t="shared" si="3"/>
        <v>8.6206896551723755E-3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3.8041000000000005</v>
      </c>
      <c r="Q42" s="2"/>
      <c r="T42" s="91" t="s">
        <v>113</v>
      </c>
      <c r="W42" s="110">
        <v>42696</v>
      </c>
      <c r="X42" s="9">
        <v>3.54</v>
      </c>
      <c r="Y42" s="9">
        <v>3.6</v>
      </c>
      <c r="Z42" s="9">
        <v>3.52</v>
      </c>
      <c r="AA42" s="9">
        <v>3.59</v>
      </c>
      <c r="AB42" s="104">
        <v>15493900</v>
      </c>
      <c r="AC42" s="9">
        <v>3.48</v>
      </c>
      <c r="AD42" s="40">
        <f t="shared" si="2"/>
        <v>8.0000000000000071E-2</v>
      </c>
      <c r="AE42" s="162">
        <f t="shared" si="3"/>
        <v>2.3529411764705799E-2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3.7692000000000005</v>
      </c>
      <c r="Q43" s="2"/>
      <c r="T43" s="128" t="s">
        <v>98</v>
      </c>
      <c r="U43" s="98">
        <v>3.48</v>
      </c>
      <c r="W43" s="110">
        <v>42695</v>
      </c>
      <c r="X43" s="9">
        <v>3.47</v>
      </c>
      <c r="Y43" s="9">
        <v>3.52</v>
      </c>
      <c r="Z43" s="9">
        <v>3.45</v>
      </c>
      <c r="AA43" s="9">
        <v>3.51</v>
      </c>
      <c r="AB43" s="104">
        <v>16942100</v>
      </c>
      <c r="AC43" s="9">
        <v>3.4</v>
      </c>
      <c r="AD43" s="40">
        <f t="shared" si="2"/>
        <v>6.999999999999984E-2</v>
      </c>
      <c r="AE43" s="162">
        <f t="shared" si="3"/>
        <v>2.4096385542168752E-2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317</v>
      </c>
      <c r="O44" s="83">
        <v>1.07</v>
      </c>
      <c r="P44" s="83">
        <f t="shared" si="7"/>
        <v>3.7343000000000006</v>
      </c>
      <c r="Q44" s="2"/>
      <c r="T44" s="93" t="s">
        <v>99</v>
      </c>
      <c r="U44" s="88">
        <v>3.49</v>
      </c>
      <c r="W44" s="110">
        <v>42692</v>
      </c>
      <c r="X44" s="9">
        <v>3.39</v>
      </c>
      <c r="Y44" s="9">
        <v>3.44</v>
      </c>
      <c r="Z44" s="9">
        <v>3.35</v>
      </c>
      <c r="AA44" s="9">
        <v>3.42</v>
      </c>
      <c r="AB44" s="104">
        <v>12626800</v>
      </c>
      <c r="AC44" s="9">
        <v>3.32</v>
      </c>
      <c r="AD44" s="40">
        <f t="shared" si="2"/>
        <v>8.9999999999999858E-2</v>
      </c>
      <c r="AE44" s="162">
        <f t="shared" si="3"/>
        <v>1.8404907975460238E-2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3.6994000000000002</v>
      </c>
      <c r="Q45" s="2"/>
      <c r="T45" s="93" t="s">
        <v>100</v>
      </c>
      <c r="U45" s="88" t="s">
        <v>582</v>
      </c>
      <c r="W45" s="110">
        <v>42691</v>
      </c>
      <c r="X45" s="9">
        <v>3.46</v>
      </c>
      <c r="Y45" s="9">
        <v>3.48</v>
      </c>
      <c r="Z45" s="9">
        <v>3.36</v>
      </c>
      <c r="AA45" s="9">
        <v>3.36</v>
      </c>
      <c r="AB45" s="104">
        <v>16910400</v>
      </c>
      <c r="AC45" s="9">
        <v>3.26</v>
      </c>
      <c r="AD45" s="40">
        <f t="shared" si="2"/>
        <v>0.12000000000000011</v>
      </c>
      <c r="AE45" s="162">
        <f t="shared" si="3"/>
        <v>-2.1021021021021102E-2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3.6645000000000003</v>
      </c>
      <c r="Q46" s="2"/>
      <c r="T46" s="93" t="s">
        <v>101</v>
      </c>
      <c r="U46" s="88" t="s">
        <v>583</v>
      </c>
      <c r="W46" s="110">
        <v>42690</v>
      </c>
      <c r="X46" s="9">
        <v>3.3</v>
      </c>
      <c r="Y46" s="9">
        <v>3.47</v>
      </c>
      <c r="Z46" s="9">
        <v>3.28</v>
      </c>
      <c r="AA46" s="9">
        <v>3.43</v>
      </c>
      <c r="AB46" s="104">
        <v>24529600</v>
      </c>
      <c r="AC46" s="9">
        <v>3.33</v>
      </c>
      <c r="AD46" s="40">
        <f t="shared" si="2"/>
        <v>0.19000000000000039</v>
      </c>
      <c r="AE46" s="162">
        <f t="shared" si="3"/>
        <v>4.0624999999999911E-2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329</v>
      </c>
      <c r="O47" s="83">
        <v>1.04</v>
      </c>
      <c r="P47" s="83">
        <f t="shared" si="7"/>
        <v>3.6296000000000004</v>
      </c>
      <c r="Q47" s="2"/>
      <c r="T47" s="93" t="s">
        <v>102</v>
      </c>
      <c r="U47" s="88">
        <v>4.75</v>
      </c>
      <c r="W47" s="110">
        <v>42689</v>
      </c>
      <c r="X47" s="9">
        <v>3.24</v>
      </c>
      <c r="Y47" s="9">
        <v>3.3</v>
      </c>
      <c r="Z47" s="9">
        <v>3.22</v>
      </c>
      <c r="AA47" s="9">
        <v>3.3</v>
      </c>
      <c r="AB47" s="104">
        <v>13537500</v>
      </c>
      <c r="AC47" s="9">
        <v>3.2</v>
      </c>
      <c r="AD47" s="40">
        <f t="shared" si="2"/>
        <v>7.9999999999999627E-2</v>
      </c>
      <c r="AE47" s="162">
        <f t="shared" si="3"/>
        <v>1.9108280254777066E-2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3.5947000000000005</v>
      </c>
      <c r="Q48" s="2"/>
      <c r="T48" s="93" t="s">
        <v>103</v>
      </c>
      <c r="U48" s="88">
        <v>0.59361699999999995</v>
      </c>
      <c r="W48" s="110">
        <v>42688</v>
      </c>
      <c r="X48" s="9">
        <v>3.15</v>
      </c>
      <c r="Y48" s="9">
        <v>3.24</v>
      </c>
      <c r="Z48" s="9">
        <v>3.14</v>
      </c>
      <c r="AA48" s="9">
        <v>3.24</v>
      </c>
      <c r="AB48" s="104">
        <v>15433900</v>
      </c>
      <c r="AC48" s="9">
        <v>3.14</v>
      </c>
      <c r="AD48" s="40">
        <f t="shared" si="2"/>
        <v>0.10000000000000009</v>
      </c>
      <c r="AE48" s="162">
        <f t="shared" si="3"/>
        <v>1.9480519480519431E-2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3.5598000000000001</v>
      </c>
      <c r="Q49" s="2"/>
      <c r="T49" s="93" t="s">
        <v>104</v>
      </c>
      <c r="U49" s="88" t="s">
        <v>391</v>
      </c>
      <c r="W49" s="110">
        <v>42685</v>
      </c>
      <c r="X49" s="9">
        <v>3.15</v>
      </c>
      <c r="Y49" s="9">
        <v>3.23</v>
      </c>
      <c r="Z49" s="9">
        <v>3.11</v>
      </c>
      <c r="AA49" s="9">
        <v>3.18</v>
      </c>
      <c r="AB49" s="104">
        <v>18806400</v>
      </c>
      <c r="AC49" s="9">
        <v>3.08</v>
      </c>
      <c r="AD49" s="40">
        <f t="shared" si="2"/>
        <v>0.12000000000000011</v>
      </c>
      <c r="AE49" s="162">
        <f t="shared" si="3"/>
        <v>6.5359477124182774E-3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3.5249000000000001</v>
      </c>
      <c r="Q50" s="2"/>
      <c r="T50" s="93"/>
      <c r="U50" s="88"/>
      <c r="W50" s="110">
        <v>42684</v>
      </c>
      <c r="X50" s="9">
        <v>3.23</v>
      </c>
      <c r="Y50" s="9">
        <v>3.26</v>
      </c>
      <c r="Z50" s="9">
        <v>3.15</v>
      </c>
      <c r="AA50" s="9">
        <v>3.16</v>
      </c>
      <c r="AB50" s="104">
        <v>21524600</v>
      </c>
      <c r="AC50" s="9">
        <v>3.06</v>
      </c>
      <c r="AD50" s="40">
        <f t="shared" si="2"/>
        <v>0.10999999999999988</v>
      </c>
      <c r="AE50" s="162">
        <f t="shared" si="3"/>
        <v>-1.6077170418006381E-2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3.49</v>
      </c>
      <c r="Q51" s="2"/>
      <c r="T51" s="93" t="s">
        <v>105</v>
      </c>
      <c r="U51" s="88" t="s">
        <v>584</v>
      </c>
      <c r="W51" s="110">
        <v>42683</v>
      </c>
      <c r="X51" s="9">
        <v>3.19</v>
      </c>
      <c r="Y51" s="9">
        <v>3.22</v>
      </c>
      <c r="Z51" s="9">
        <v>3.13</v>
      </c>
      <c r="AA51" s="9">
        <v>3.21</v>
      </c>
      <c r="AB51" s="104">
        <v>22316500</v>
      </c>
      <c r="AC51" s="9">
        <v>3.11</v>
      </c>
      <c r="AD51" s="40">
        <f t="shared" si="2"/>
        <v>9.0000000000000302E-2</v>
      </c>
      <c r="AE51" s="162">
        <f t="shared" si="3"/>
        <v>-9.5541401273886439E-3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3.4551000000000003</v>
      </c>
      <c r="Q52" s="2"/>
      <c r="T52" s="93" t="s">
        <v>106</v>
      </c>
      <c r="U52" s="88" t="s">
        <v>335</v>
      </c>
      <c r="W52" s="110">
        <v>42682</v>
      </c>
      <c r="X52" s="9">
        <v>3.25</v>
      </c>
      <c r="Y52" s="9">
        <v>3.31</v>
      </c>
      <c r="Z52" s="9">
        <v>3.21</v>
      </c>
      <c r="AA52" s="9">
        <v>3.24</v>
      </c>
      <c r="AB52" s="104">
        <v>27615500</v>
      </c>
      <c r="AC52" s="9">
        <v>3.14</v>
      </c>
      <c r="AD52" s="40">
        <f t="shared" si="2"/>
        <v>0.10000000000000009</v>
      </c>
      <c r="AE52" s="162">
        <f t="shared" si="3"/>
        <v>9.6463022508039842E-3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3.4202000000000004</v>
      </c>
      <c r="Q53" s="2"/>
      <c r="T53" s="93" t="s">
        <v>107</v>
      </c>
      <c r="U53" s="90">
        <v>18466670</v>
      </c>
      <c r="W53" s="110">
        <v>42681</v>
      </c>
      <c r="X53" s="9">
        <v>3.2</v>
      </c>
      <c r="Y53" s="9">
        <v>3.29</v>
      </c>
      <c r="Z53" s="9">
        <v>3.16</v>
      </c>
      <c r="AA53" s="9">
        <v>3.21</v>
      </c>
      <c r="AB53" s="104">
        <v>30989400</v>
      </c>
      <c r="AC53" s="9">
        <v>3.11</v>
      </c>
      <c r="AD53" s="40">
        <f t="shared" si="2"/>
        <v>0.12999999999999989</v>
      </c>
      <c r="AE53" s="162">
        <f t="shared" si="3"/>
        <v>2.64026402640265E-2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3.3853</v>
      </c>
      <c r="T54" s="93" t="s">
        <v>110</v>
      </c>
      <c r="U54" s="90">
        <v>22238300</v>
      </c>
      <c r="W54" s="110">
        <v>42678</v>
      </c>
      <c r="X54" s="9">
        <v>3.17</v>
      </c>
      <c r="Y54" s="9">
        <v>3.24</v>
      </c>
      <c r="Z54" s="9">
        <v>3.1</v>
      </c>
      <c r="AA54" s="9">
        <v>3.12</v>
      </c>
      <c r="AB54" s="104">
        <v>43146000</v>
      </c>
      <c r="AC54" s="9">
        <v>3.03</v>
      </c>
      <c r="AD54" s="40">
        <f t="shared" si="2"/>
        <v>0.14000000000000012</v>
      </c>
      <c r="AE54" s="162">
        <f t="shared" si="3"/>
        <v>-3.2894736842106198E-3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3.3504</v>
      </c>
      <c r="T55" s="93" t="s">
        <v>108</v>
      </c>
      <c r="U55" s="88" t="s">
        <v>585</v>
      </c>
      <c r="W55" s="110">
        <v>42677</v>
      </c>
      <c r="X55" s="9">
        <v>3.42</v>
      </c>
      <c r="Y55" s="9">
        <v>3.43</v>
      </c>
      <c r="Z55" s="9">
        <v>3.12</v>
      </c>
      <c r="AA55" s="9">
        <v>3.13</v>
      </c>
      <c r="AB55" s="104">
        <v>54916600</v>
      </c>
      <c r="AC55" s="9">
        <v>3.04</v>
      </c>
      <c r="AD55" s="40">
        <f t="shared" si="2"/>
        <v>0.31000000000000005</v>
      </c>
      <c r="AE55" s="162">
        <f t="shared" si="3"/>
        <v>-7.5987841945288737E-2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3.3155000000000001</v>
      </c>
      <c r="T56" s="93" t="s">
        <v>111</v>
      </c>
      <c r="U56" s="88" t="s">
        <v>129</v>
      </c>
      <c r="W56" s="110">
        <v>42676</v>
      </c>
      <c r="X56" s="9">
        <v>3.8</v>
      </c>
      <c r="Y56" s="9">
        <v>3.8</v>
      </c>
      <c r="Z56" s="9">
        <v>3.38</v>
      </c>
      <c r="AA56" s="9">
        <v>3.39</v>
      </c>
      <c r="AB56" s="104">
        <v>85892100</v>
      </c>
      <c r="AC56" s="9">
        <v>3.29</v>
      </c>
      <c r="AD56" s="40">
        <f t="shared" si="2"/>
        <v>0.41999999999999993</v>
      </c>
      <c r="AE56" s="162">
        <f t="shared" si="3"/>
        <v>-0.13648293963254599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3.2806000000000002</v>
      </c>
      <c r="T57" s="93" t="s">
        <v>112</v>
      </c>
      <c r="U57" s="88">
        <v>-0.53</v>
      </c>
      <c r="W57" s="110">
        <v>42675</v>
      </c>
      <c r="X57" s="9">
        <v>4.04</v>
      </c>
      <c r="Y57" s="9">
        <v>4.07</v>
      </c>
      <c r="Z57" s="9">
        <v>3.9</v>
      </c>
      <c r="AA57" s="9">
        <v>3.93</v>
      </c>
      <c r="AB57" s="104">
        <v>19346400</v>
      </c>
      <c r="AC57" s="9">
        <v>3.81</v>
      </c>
      <c r="AD57" s="40">
        <f t="shared" si="2"/>
        <v>0.17000000000000037</v>
      </c>
      <c r="AE57" s="162">
        <f t="shared" si="3"/>
        <v>-2.3076923076922995E-2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3.2457000000000003</v>
      </c>
      <c r="T58" s="93" t="s">
        <v>109</v>
      </c>
      <c r="U58" s="88" t="s">
        <v>652</v>
      </c>
      <c r="W58" s="110">
        <v>42674</v>
      </c>
      <c r="X58" s="9">
        <v>4.05</v>
      </c>
      <c r="Y58" s="9">
        <v>4.09</v>
      </c>
      <c r="Z58" s="9">
        <v>4</v>
      </c>
      <c r="AA58" s="9">
        <v>4.0199999999999996</v>
      </c>
      <c r="AB58" s="104">
        <v>23321700</v>
      </c>
      <c r="AC58" s="9">
        <v>3.9</v>
      </c>
      <c r="AD58" s="40">
        <f t="shared" si="2"/>
        <v>8.9999999999999858E-2</v>
      </c>
      <c r="AE58" s="162">
        <f t="shared" si="3"/>
        <v>-2.5575447570332921E-3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3.2108000000000003</v>
      </c>
      <c r="W59" s="110">
        <v>42671</v>
      </c>
      <c r="X59" s="9">
        <v>4.16</v>
      </c>
      <c r="Y59" s="9">
        <v>4.24</v>
      </c>
      <c r="Z59" s="9">
        <v>4.03</v>
      </c>
      <c r="AA59" s="9">
        <v>4.03</v>
      </c>
      <c r="AB59" s="104">
        <v>20753500</v>
      </c>
      <c r="AC59" s="9">
        <v>3.91</v>
      </c>
      <c r="AD59" s="40">
        <f t="shared" si="2"/>
        <v>0.20999999999999996</v>
      </c>
      <c r="AE59" s="162">
        <f t="shared" si="3"/>
        <v>-3.2178217821782207E-2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1" si="35">C60*(E60-D60)</f>
        <v>257.3119999999999</v>
      </c>
      <c r="G60" s="40">
        <f t="shared" ref="G60:G61" si="36">D60*C60</f>
        <v>3735.6880000000001</v>
      </c>
      <c r="H60" s="232">
        <f t="shared" ref="H60:H61" si="37">(E60-D60)/D60</f>
        <v>6.8879413912510873E-2</v>
      </c>
      <c r="I60" s="40"/>
      <c r="O60" s="83">
        <v>0.91</v>
      </c>
      <c r="P60" s="83">
        <f t="shared" si="7"/>
        <v>3.1759000000000004</v>
      </c>
      <c r="W60" s="110">
        <v>42670</v>
      </c>
      <c r="X60" s="9">
        <v>4.0999999999999996</v>
      </c>
      <c r="Y60" s="9">
        <v>4.26</v>
      </c>
      <c r="Z60" s="9">
        <v>4.0199999999999996</v>
      </c>
      <c r="AA60" s="9">
        <v>4.17</v>
      </c>
      <c r="AB60" s="104">
        <v>24739300</v>
      </c>
      <c r="AC60" s="9">
        <v>4.04</v>
      </c>
      <c r="AD60" s="40">
        <f t="shared" si="2"/>
        <v>0.24000000000000021</v>
      </c>
      <c r="AE60" s="162">
        <f t="shared" si="3"/>
        <v>1.7632241813601901E-2</v>
      </c>
    </row>
    <row r="61" spans="1:31" x14ac:dyDescent="0.25">
      <c r="A61" t="s">
        <v>621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3.1410000000000005</v>
      </c>
      <c r="W61" s="110">
        <v>42669</v>
      </c>
      <c r="X61" s="9">
        <v>4.1100000000000003</v>
      </c>
      <c r="Y61" s="9">
        <v>4.13</v>
      </c>
      <c r="Z61" s="9">
        <v>4.05</v>
      </c>
      <c r="AA61" s="9">
        <v>4.09</v>
      </c>
      <c r="AB61" s="104">
        <v>7883700</v>
      </c>
      <c r="AC61" s="9">
        <v>3.97</v>
      </c>
      <c r="AD61" s="40">
        <f t="shared" si="2"/>
        <v>8.0000000000000071E-2</v>
      </c>
      <c r="AE61" s="162">
        <f t="shared" si="3"/>
        <v>-5.0125313283208017E-3</v>
      </c>
    </row>
    <row r="62" spans="1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42668</v>
      </c>
      <c r="X62" s="9">
        <v>4.0999999999999996</v>
      </c>
      <c r="Y62" s="9">
        <v>4.1399999999999997</v>
      </c>
      <c r="Z62" s="9">
        <v>4.07</v>
      </c>
      <c r="AA62" s="9">
        <v>4.1100000000000003</v>
      </c>
      <c r="AB62" s="104">
        <v>8635300</v>
      </c>
      <c r="AC62" s="9">
        <v>3.99</v>
      </c>
      <c r="AD62" s="40">
        <f t="shared" si="2"/>
        <v>6.9999999999999396E-2</v>
      </c>
      <c r="AE62" s="162">
        <f t="shared" si="3"/>
        <v>2.5125628140703071E-3</v>
      </c>
    </row>
    <row r="63" spans="1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42667</v>
      </c>
      <c r="X63" s="9">
        <v>4.09</v>
      </c>
      <c r="Y63" s="9">
        <v>4.12</v>
      </c>
      <c r="Z63" s="9">
        <v>4.05</v>
      </c>
      <c r="AA63" s="9">
        <v>4.0999999999999996</v>
      </c>
      <c r="AB63" s="104">
        <v>5841100</v>
      </c>
      <c r="AC63" s="9">
        <v>3.98</v>
      </c>
      <c r="AD63" s="40">
        <f t="shared" si="2"/>
        <v>7.0000000000000284E-2</v>
      </c>
      <c r="AE63" s="162">
        <f t="shared" si="3"/>
        <v>7.5949367088608E-3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42664</v>
      </c>
      <c r="X64" s="9">
        <v>4.0599999999999996</v>
      </c>
      <c r="Y64" s="9">
        <v>4.13</v>
      </c>
      <c r="Z64" s="9">
        <v>4.0599999999999996</v>
      </c>
      <c r="AA64" s="9">
        <v>4.07</v>
      </c>
      <c r="AB64" s="104">
        <v>11225900</v>
      </c>
      <c r="AC64" s="9">
        <v>3.95</v>
      </c>
      <c r="AD64" s="40">
        <f t="shared" si="2"/>
        <v>7.0000000000000284E-2</v>
      </c>
      <c r="AE64" s="162">
        <f t="shared" si="3"/>
        <v>-5.0377833753149082E-3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42663</v>
      </c>
      <c r="X65" s="9">
        <v>4.0999999999999996</v>
      </c>
      <c r="Y65" s="9">
        <v>4.12</v>
      </c>
      <c r="Z65" s="9">
        <v>4.04</v>
      </c>
      <c r="AA65" s="9">
        <v>4.09</v>
      </c>
      <c r="AB65" s="104">
        <v>10307200</v>
      </c>
      <c r="AC65" s="9">
        <v>3.97</v>
      </c>
      <c r="AD65" s="40">
        <f t="shared" si="2"/>
        <v>8.0000000000000071E-2</v>
      </c>
      <c r="AE65" s="162">
        <f t="shared" si="3"/>
        <v>0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42662</v>
      </c>
      <c r="X66" s="9">
        <v>4.12</v>
      </c>
      <c r="Y66" s="9">
        <v>4.13</v>
      </c>
      <c r="Z66" s="9">
        <v>4.04</v>
      </c>
      <c r="AA66" s="9">
        <v>4.09</v>
      </c>
      <c r="AB66" s="104">
        <v>14172600</v>
      </c>
      <c r="AC66" s="9">
        <v>3.97</v>
      </c>
      <c r="AD66" s="40">
        <f t="shared" si="2"/>
        <v>8.9999999999999858E-2</v>
      </c>
      <c r="AE66" s="162">
        <f t="shared" si="3"/>
        <v>2.525252525252597E-3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42661</v>
      </c>
      <c r="X67" s="9">
        <v>3.95</v>
      </c>
      <c r="Y67" s="9">
        <v>4.09</v>
      </c>
      <c r="Z67" s="9">
        <v>3.93</v>
      </c>
      <c r="AA67" s="9">
        <v>4.08</v>
      </c>
      <c r="AB67" s="104">
        <v>20453700</v>
      </c>
      <c r="AC67" s="9">
        <v>3.96</v>
      </c>
      <c r="AD67" s="40">
        <f>Y67-Z67</f>
        <v>0.1599999999999997</v>
      </c>
      <c r="AE67" s="162">
        <f>AC67/AC68-1</f>
        <v>4.7619047619047672E-2</v>
      </c>
    </row>
    <row r="68" spans="1:31" x14ac:dyDescent="0.25">
      <c r="L68" t="s">
        <v>214</v>
      </c>
      <c r="M68" s="2">
        <f>K86+M86-F86</f>
        <v>434.93000000000029</v>
      </c>
      <c r="W68" s="110">
        <v>42660</v>
      </c>
      <c r="X68" s="9">
        <v>3.96</v>
      </c>
      <c r="Y68" s="9">
        <v>3.99</v>
      </c>
      <c r="Z68" s="9">
        <v>3.88</v>
      </c>
      <c r="AA68" s="9">
        <v>3.9</v>
      </c>
      <c r="AB68" s="104">
        <v>11834900</v>
      </c>
      <c r="AC68" s="9">
        <v>3.78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156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300</v>
      </c>
      <c r="T2" s="1"/>
      <c r="W2" s="133">
        <v>42755</v>
      </c>
      <c r="X2" s="10">
        <v>71.97</v>
      </c>
      <c r="Y2" s="10">
        <v>72</v>
      </c>
      <c r="Z2" s="10">
        <v>70.58</v>
      </c>
      <c r="AA2" s="10">
        <v>71.010000000000005</v>
      </c>
      <c r="AB2" s="95">
        <v>10153500</v>
      </c>
      <c r="AC2" s="10">
        <v>71.010000000000005</v>
      </c>
      <c r="AD2" s="40">
        <f>Y2-Z2</f>
        <v>1.4200000000000017</v>
      </c>
      <c r="AE2" s="162">
        <f>AC2/AC3-1</f>
        <v>-7.8245074751989163E-3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77.794166666666683</v>
      </c>
      <c r="W3" s="133">
        <v>42754</v>
      </c>
      <c r="X3" s="10">
        <v>71.819999999999993</v>
      </c>
      <c r="Y3" s="10">
        <v>72.25</v>
      </c>
      <c r="Z3" s="10">
        <v>71.23</v>
      </c>
      <c r="AA3" s="10">
        <v>71.569999999999993</v>
      </c>
      <c r="AB3" s="95">
        <v>9799800</v>
      </c>
      <c r="AC3" s="10">
        <v>71.569999999999993</v>
      </c>
      <c r="AD3" s="40">
        <f t="shared" ref="AD3:AD66" si="1">Y3-Z3</f>
        <v>1.019999999999996</v>
      </c>
      <c r="AE3" s="162">
        <f t="shared" ref="AE3:AE66" si="2">AC3/AC4-1</f>
        <v>-7.7637598779980443E-3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71.010000000000005</v>
      </c>
      <c r="R4" s="505">
        <v>-7.7999999999999996E-3</v>
      </c>
      <c r="W4" s="133">
        <v>42753</v>
      </c>
      <c r="X4" s="10">
        <v>72.239999999999995</v>
      </c>
      <c r="Y4" s="10">
        <v>72.47</v>
      </c>
      <c r="Z4" s="10">
        <v>71.5</v>
      </c>
      <c r="AA4" s="10">
        <v>72.13</v>
      </c>
      <c r="AB4" s="95">
        <v>9886700</v>
      </c>
      <c r="AC4" s="10">
        <v>72.13</v>
      </c>
      <c r="AD4" s="40">
        <f t="shared" si="1"/>
        <v>0.96999999999999886</v>
      </c>
      <c r="AE4" s="162">
        <f t="shared" si="2"/>
        <v>3.0593797802809242E-3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21303</v>
      </c>
      <c r="T5" s="1"/>
      <c r="W5" s="133">
        <v>42752</v>
      </c>
      <c r="X5" s="10">
        <v>72.92</v>
      </c>
      <c r="Y5" s="10">
        <v>72.92</v>
      </c>
      <c r="Z5" s="10">
        <v>71.73</v>
      </c>
      <c r="AA5" s="10">
        <v>71.91</v>
      </c>
      <c r="AB5" s="95">
        <v>11660900</v>
      </c>
      <c r="AC5" s="10">
        <v>71.91</v>
      </c>
      <c r="AD5" s="40">
        <f t="shared" si="1"/>
        <v>1.1899999999999977</v>
      </c>
      <c r="AE5" s="162">
        <f t="shared" si="2"/>
        <v>-1.5875188175721866E-2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23338.250000000004</v>
      </c>
      <c r="W6" s="133">
        <v>42748</v>
      </c>
      <c r="X6" s="10">
        <v>73.63</v>
      </c>
      <c r="Y6" s="10">
        <v>73.78</v>
      </c>
      <c r="Z6" s="10">
        <v>73</v>
      </c>
      <c r="AA6" s="10">
        <v>73.069999999999993</v>
      </c>
      <c r="AB6" s="95">
        <v>8218400</v>
      </c>
      <c r="AC6" s="10">
        <v>73.069999999999993</v>
      </c>
      <c r="AD6" s="40">
        <f t="shared" si="1"/>
        <v>0.78000000000000114</v>
      </c>
      <c r="AE6" s="162">
        <f t="shared" si="2"/>
        <v>-3.9531079607416642E-3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-2035.25</v>
      </c>
      <c r="R7">
        <v>150</v>
      </c>
      <c r="W7" s="133">
        <v>42747</v>
      </c>
      <c r="X7" s="10">
        <v>73.53</v>
      </c>
      <c r="Y7" s="10">
        <v>73.680000000000007</v>
      </c>
      <c r="Z7" s="10">
        <v>72.930000000000007</v>
      </c>
      <c r="AA7" s="10">
        <v>73.36</v>
      </c>
      <c r="AB7" s="95">
        <v>7042000</v>
      </c>
      <c r="AC7" s="10">
        <v>73.36</v>
      </c>
      <c r="AD7" s="40">
        <f t="shared" si="1"/>
        <v>0.75</v>
      </c>
      <c r="AE7" s="162">
        <f t="shared" si="2"/>
        <v>-5.5578148298766061E-3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-2035.25</v>
      </c>
      <c r="T8" s="1"/>
      <c r="W8" s="133">
        <v>42746</v>
      </c>
      <c r="X8" s="10">
        <v>75.52</v>
      </c>
      <c r="Y8" s="10">
        <v>75.55</v>
      </c>
      <c r="Z8" s="10">
        <v>73.010000000000005</v>
      </c>
      <c r="AA8" s="10">
        <v>73.77</v>
      </c>
      <c r="AB8" s="95">
        <v>14106700</v>
      </c>
      <c r="AC8" s="10">
        <v>73.77</v>
      </c>
      <c r="AD8" s="40">
        <f t="shared" si="1"/>
        <v>2.539999999999992</v>
      </c>
      <c r="AE8" s="162">
        <f t="shared" si="2"/>
        <v>-1.6531129182775772E-2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215</v>
      </c>
      <c r="Q9" s="138">
        <f>IF(Q2=0, 0, Q8/Q6)</f>
        <v>-8.7206624318447168E-2</v>
      </c>
      <c r="W9" s="133">
        <v>42745</v>
      </c>
      <c r="X9" s="10">
        <v>76.459999999999994</v>
      </c>
      <c r="Y9" s="10">
        <v>76.5</v>
      </c>
      <c r="Z9" s="10">
        <v>74.930000000000007</v>
      </c>
      <c r="AA9" s="10">
        <v>75.010000000000005</v>
      </c>
      <c r="AB9" s="95">
        <v>8795800</v>
      </c>
      <c r="AC9" s="10">
        <v>75.010000000000005</v>
      </c>
      <c r="AD9" s="40">
        <f t="shared" si="1"/>
        <v>1.5699999999999932</v>
      </c>
      <c r="AE9" s="162">
        <f t="shared" si="2"/>
        <v>-1.0944092827004148E-2</v>
      </c>
    </row>
    <row r="10" spans="1:40" x14ac:dyDescent="0.25">
      <c r="A10" s="423" t="s">
        <v>217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214</v>
      </c>
      <c r="P10" s="34"/>
      <c r="Q10" s="2">
        <f>M62</f>
        <v>0</v>
      </c>
      <c r="W10" s="133">
        <v>42744</v>
      </c>
      <c r="X10" s="10">
        <v>75.930000000000007</v>
      </c>
      <c r="Y10" s="10">
        <v>76.09</v>
      </c>
      <c r="Z10" s="10">
        <v>75.27</v>
      </c>
      <c r="AA10" s="10">
        <v>75.84</v>
      </c>
      <c r="AB10" s="95">
        <v>10152000</v>
      </c>
      <c r="AC10" s="10">
        <v>75.84</v>
      </c>
      <c r="AD10" s="40">
        <f t="shared" si="1"/>
        <v>0.82000000000000739</v>
      </c>
      <c r="AE10" s="162">
        <f t="shared" si="2"/>
        <v>4.6363756788980748E-3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2.6100000000000002E-2</v>
      </c>
      <c r="W11" s="133">
        <v>42741</v>
      </c>
      <c r="X11" s="10">
        <v>76.45</v>
      </c>
      <c r="Y11" s="10">
        <v>76.5</v>
      </c>
      <c r="Z11" s="10">
        <v>75.41</v>
      </c>
      <c r="AA11" s="10">
        <v>75.489999999999995</v>
      </c>
      <c r="AB11" s="95">
        <v>8949200</v>
      </c>
      <c r="AC11" s="10">
        <v>75.489999999999995</v>
      </c>
      <c r="AD11" s="40">
        <f t="shared" si="1"/>
        <v>1.0900000000000034</v>
      </c>
      <c r="AE11" s="162">
        <f t="shared" si="2"/>
        <v>-6.84120510459163E-3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42740</v>
      </c>
      <c r="X12" s="10">
        <v>76.84</v>
      </c>
      <c r="Y12" s="10">
        <v>76.849999999999994</v>
      </c>
      <c r="Z12" s="10">
        <v>75.569999999999993</v>
      </c>
      <c r="AA12" s="10">
        <v>76.010000000000005</v>
      </c>
      <c r="AB12" s="95">
        <v>9410700</v>
      </c>
      <c r="AC12" s="10">
        <v>76.010000000000005</v>
      </c>
      <c r="AD12" s="40">
        <f t="shared" si="1"/>
        <v>1.2800000000000011</v>
      </c>
      <c r="AE12" s="162">
        <f t="shared" si="2"/>
        <v>-4.8442000523696294E-3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42739</v>
      </c>
      <c r="X13" s="10">
        <v>74.53</v>
      </c>
      <c r="Y13" s="10">
        <v>76.98</v>
      </c>
      <c r="Z13" s="10">
        <v>74.38</v>
      </c>
      <c r="AA13" s="10">
        <v>76.38</v>
      </c>
      <c r="AB13" s="95">
        <v>14753300</v>
      </c>
      <c r="AC13" s="10">
        <v>76.38</v>
      </c>
      <c r="AD13" s="40">
        <f t="shared" si="1"/>
        <v>2.6000000000000085</v>
      </c>
      <c r="AE13" s="162">
        <f t="shared" si="2"/>
        <v>2.9935275080906099E-2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42738</v>
      </c>
      <c r="X14" s="10">
        <v>72.34</v>
      </c>
      <c r="Y14" s="10">
        <v>74.23</v>
      </c>
      <c r="Z14" s="10">
        <v>72.180000000000007</v>
      </c>
      <c r="AA14" s="10">
        <v>74.16</v>
      </c>
      <c r="AB14" s="95">
        <v>10880000</v>
      </c>
      <c r="AC14" s="10">
        <v>74.16</v>
      </c>
      <c r="AD14" s="40">
        <f t="shared" si="1"/>
        <v>2.0499999999999972</v>
      </c>
      <c r="AE14" s="162">
        <f t="shared" si="2"/>
        <v>3.5609551738583933E-2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42734</v>
      </c>
      <c r="X15" s="10">
        <v>72.03</v>
      </c>
      <c r="Y15" s="10">
        <v>72.260000000000005</v>
      </c>
      <c r="Z15" s="10">
        <v>71.3</v>
      </c>
      <c r="AA15" s="10">
        <v>71.61</v>
      </c>
      <c r="AB15" s="95">
        <v>9198400</v>
      </c>
      <c r="AC15" s="10">
        <v>71.61</v>
      </c>
      <c r="AD15" s="40">
        <f t="shared" si="1"/>
        <v>0.96000000000000796</v>
      </c>
      <c r="AE15" s="162">
        <f t="shared" si="2"/>
        <v>-7.2092056009981365E-3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42733</v>
      </c>
      <c r="X16" s="10">
        <v>72.77</v>
      </c>
      <c r="Y16" s="10">
        <v>72.849999999999994</v>
      </c>
      <c r="Z16" s="10">
        <v>71.94</v>
      </c>
      <c r="AA16" s="10">
        <v>72.13</v>
      </c>
      <c r="AB16" s="95">
        <v>7500600</v>
      </c>
      <c r="AC16" s="10">
        <v>72.13</v>
      </c>
      <c r="AD16" s="40">
        <f t="shared" si="1"/>
        <v>0.90999999999999659</v>
      </c>
      <c r="AE16" s="162">
        <f t="shared" si="2"/>
        <v>-8.7948330355915871E-3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42732</v>
      </c>
      <c r="X17" s="10">
        <v>73.61</v>
      </c>
      <c r="Y17" s="10">
        <v>73.7</v>
      </c>
      <c r="Z17" s="10">
        <v>72.62</v>
      </c>
      <c r="AA17" s="10">
        <v>72.77</v>
      </c>
      <c r="AB17" s="95">
        <v>6333000</v>
      </c>
      <c r="AC17" s="10">
        <v>72.77</v>
      </c>
      <c r="AD17" s="40">
        <f t="shared" si="1"/>
        <v>1.0799999999999983</v>
      </c>
      <c r="AE17" s="162">
        <f t="shared" si="2"/>
        <v>-1.3020480130204959E-2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42731</v>
      </c>
      <c r="X18" s="10">
        <v>73.52</v>
      </c>
      <c r="Y18" s="10">
        <v>74.8</v>
      </c>
      <c r="Z18" s="10">
        <v>73.510000000000005</v>
      </c>
      <c r="AA18" s="10">
        <v>73.73</v>
      </c>
      <c r="AB18" s="95">
        <v>6625700</v>
      </c>
      <c r="AC18" s="10">
        <v>73.73</v>
      </c>
      <c r="AD18" s="40">
        <f t="shared" si="1"/>
        <v>1.289999999999992</v>
      </c>
      <c r="AE18" s="162">
        <f t="shared" si="2"/>
        <v>1.2221618685497315E-3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42727</v>
      </c>
      <c r="X19" s="10">
        <v>73.3</v>
      </c>
      <c r="Y19" s="10">
        <v>73.89</v>
      </c>
      <c r="Z19" s="10">
        <v>73.22</v>
      </c>
      <c r="AA19" s="10">
        <v>73.64</v>
      </c>
      <c r="AB19" s="95">
        <v>5304700</v>
      </c>
      <c r="AC19" s="10">
        <v>73.64</v>
      </c>
      <c r="AD19" s="40">
        <f t="shared" si="1"/>
        <v>0.67000000000000171</v>
      </c>
      <c r="AE19" s="162">
        <f t="shared" si="2"/>
        <v>4.6384720327421469E-3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42726</v>
      </c>
      <c r="X20" s="10">
        <v>73.680000000000007</v>
      </c>
      <c r="Y20" s="10">
        <v>73.75</v>
      </c>
      <c r="Z20" s="10">
        <v>72.92</v>
      </c>
      <c r="AA20" s="10">
        <v>73.3</v>
      </c>
      <c r="AB20" s="95">
        <v>8413800</v>
      </c>
      <c r="AC20" s="10">
        <v>73.3</v>
      </c>
      <c r="AD20" s="40">
        <f t="shared" si="1"/>
        <v>0.82999999999999829</v>
      </c>
      <c r="AE20" s="162">
        <f t="shared" si="2"/>
        <v>-8.9237425635477763E-3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42725</v>
      </c>
      <c r="X21" s="10">
        <v>74.03</v>
      </c>
      <c r="Y21" s="10">
        <v>74.83</v>
      </c>
      <c r="Z21" s="10">
        <v>73.56</v>
      </c>
      <c r="AA21" s="10">
        <v>73.959999999999994</v>
      </c>
      <c r="AB21" s="95">
        <v>7018700</v>
      </c>
      <c r="AC21" s="10">
        <v>73.959999999999994</v>
      </c>
      <c r="AD21" s="40">
        <f t="shared" si="1"/>
        <v>1.269999999999996</v>
      </c>
      <c r="AE21" s="162">
        <f t="shared" si="2"/>
        <v>-1.2153950033761962E-3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42724</v>
      </c>
      <c r="X22" s="10">
        <v>74.510000000000005</v>
      </c>
      <c r="Y22" s="10">
        <v>74.63</v>
      </c>
      <c r="Z22" s="10">
        <v>73.430000000000007</v>
      </c>
      <c r="AA22" s="10">
        <v>74.05</v>
      </c>
      <c r="AB22" s="95">
        <v>8452000</v>
      </c>
      <c r="AC22" s="10">
        <v>74.05</v>
      </c>
      <c r="AD22" s="40">
        <f t="shared" si="1"/>
        <v>1.1999999999999886</v>
      </c>
      <c r="AE22" s="162">
        <f t="shared" si="2"/>
        <v>-4.7043010752689796E-3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42723</v>
      </c>
      <c r="X23" s="10">
        <v>73.61</v>
      </c>
      <c r="Y23" s="10">
        <v>75.3</v>
      </c>
      <c r="Z23" s="10">
        <v>73.55</v>
      </c>
      <c r="AA23" s="10">
        <v>74.400000000000006</v>
      </c>
      <c r="AB23" s="95">
        <v>8212200</v>
      </c>
      <c r="AC23" s="10">
        <v>74.400000000000006</v>
      </c>
      <c r="AD23" s="40">
        <f t="shared" si="1"/>
        <v>1.75</v>
      </c>
      <c r="AE23" s="162">
        <f t="shared" si="2"/>
        <v>4.0485829959515662E-3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42720</v>
      </c>
      <c r="X24" s="10">
        <v>74.430000000000007</v>
      </c>
      <c r="Y24" s="10">
        <v>74.959999999999994</v>
      </c>
      <c r="Z24" s="10">
        <v>73.94</v>
      </c>
      <c r="AA24" s="10">
        <v>74.099999999999994</v>
      </c>
      <c r="AB24" s="95">
        <v>14437500</v>
      </c>
      <c r="AC24" s="10">
        <v>74.099999999999994</v>
      </c>
      <c r="AD24" s="40">
        <f t="shared" si="1"/>
        <v>1.019999999999996</v>
      </c>
      <c r="AE24" s="162">
        <f t="shared" si="2"/>
        <v>-1.9192587690271434E-2</v>
      </c>
    </row>
    <row r="25" spans="1:31" x14ac:dyDescent="0.25">
      <c r="B25" s="503">
        <v>42755</v>
      </c>
      <c r="C25" s="4">
        <v>50</v>
      </c>
      <c r="D25" s="2">
        <v>70.78</v>
      </c>
      <c r="E25" s="2">
        <v>0</v>
      </c>
      <c r="F25" s="2">
        <f t="shared" si="0"/>
        <v>3539</v>
      </c>
      <c r="W25" s="133">
        <v>42719</v>
      </c>
      <c r="X25" s="10">
        <v>75.8</v>
      </c>
      <c r="Y25" s="10">
        <v>75.989999999999995</v>
      </c>
      <c r="Z25" s="10">
        <v>74.91</v>
      </c>
      <c r="AA25" s="10">
        <v>75.55</v>
      </c>
      <c r="AB25" s="95">
        <v>9448800</v>
      </c>
      <c r="AC25" s="10">
        <v>75.55</v>
      </c>
      <c r="AD25" s="40">
        <f t="shared" si="1"/>
        <v>1.0799999999999983</v>
      </c>
      <c r="AE25" s="162">
        <f t="shared" si="2"/>
        <v>-2.1133271694623312E-3</v>
      </c>
    </row>
    <row r="26" spans="1:31" x14ac:dyDescent="0.25">
      <c r="W26" s="133">
        <v>42718</v>
      </c>
      <c r="X26" s="10">
        <v>74.86</v>
      </c>
      <c r="Y26" s="10">
        <v>76.319999999999993</v>
      </c>
      <c r="Z26" s="10">
        <v>74.86</v>
      </c>
      <c r="AA26" s="10">
        <v>75.709999999999994</v>
      </c>
      <c r="AB26" s="95">
        <v>11822800</v>
      </c>
      <c r="AC26" s="10">
        <v>75.709999999999994</v>
      </c>
      <c r="AD26" s="40">
        <f t="shared" si="1"/>
        <v>1.4599999999999937</v>
      </c>
      <c r="AE26" s="162">
        <f t="shared" si="2"/>
        <v>1.1624799572421018E-2</v>
      </c>
    </row>
    <row r="27" spans="1:31" x14ac:dyDescent="0.25">
      <c r="W27" s="133">
        <v>42717</v>
      </c>
      <c r="X27" s="10">
        <v>73.41</v>
      </c>
      <c r="Y27" s="10">
        <v>75.87</v>
      </c>
      <c r="Z27" s="10">
        <v>73.400000000000006</v>
      </c>
      <c r="AA27" s="10">
        <v>74.84</v>
      </c>
      <c r="AB27" s="95">
        <v>12693000</v>
      </c>
      <c r="AC27" s="10">
        <v>74.84</v>
      </c>
      <c r="AD27" s="40">
        <f t="shared" si="1"/>
        <v>2.4699999999999989</v>
      </c>
      <c r="AE27" s="162" t="e">
        <f t="shared" si="2"/>
        <v>#DIV/0!</v>
      </c>
    </row>
    <row r="28" spans="1:31" x14ac:dyDescent="0.25">
      <c r="W28" s="133">
        <v>42717</v>
      </c>
      <c r="X28" s="10" t="s">
        <v>226</v>
      </c>
      <c r="Y28" s="10"/>
      <c r="Z28" s="10"/>
      <c r="AA28" s="10"/>
      <c r="AB28" s="95"/>
      <c r="AC28" s="10"/>
      <c r="AD28" s="40">
        <f t="shared" si="1"/>
        <v>0</v>
      </c>
      <c r="AE28" s="162">
        <f t="shared" si="2"/>
        <v>-1</v>
      </c>
    </row>
    <row r="29" spans="1:31" x14ac:dyDescent="0.25">
      <c r="W29" s="133">
        <v>42716</v>
      </c>
      <c r="X29" s="10">
        <v>72.56</v>
      </c>
      <c r="Y29" s="10">
        <v>73.680000000000007</v>
      </c>
      <c r="Z29" s="10">
        <v>72.13</v>
      </c>
      <c r="AA29" s="10">
        <v>73.47</v>
      </c>
      <c r="AB29" s="95">
        <v>9475900</v>
      </c>
      <c r="AC29" s="10">
        <v>73</v>
      </c>
      <c r="AD29" s="40">
        <f t="shared" si="1"/>
        <v>1.5500000000000114</v>
      </c>
      <c r="AE29" s="162">
        <f t="shared" si="2"/>
        <v>1.0660390419493293E-2</v>
      </c>
    </row>
    <row r="30" spans="1:31" x14ac:dyDescent="0.25">
      <c r="C30" s="4"/>
      <c r="D30" s="3"/>
      <c r="E30" s="3"/>
      <c r="F30" s="3"/>
      <c r="H30" s="72"/>
      <c r="W30" s="133">
        <v>42713</v>
      </c>
      <c r="X30" s="10">
        <v>72.34</v>
      </c>
      <c r="Y30" s="10">
        <v>73.13</v>
      </c>
      <c r="Z30" s="10">
        <v>71.95</v>
      </c>
      <c r="AA30" s="10">
        <v>72.7</v>
      </c>
      <c r="AB30" s="95">
        <v>9936300</v>
      </c>
      <c r="AC30" s="10">
        <v>72.23</v>
      </c>
      <c r="AD30" s="40">
        <f t="shared" si="1"/>
        <v>1.1799999999999926</v>
      </c>
      <c r="AE30" s="162">
        <f t="shared" si="2"/>
        <v>9.3627724986025118E-3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42712</v>
      </c>
      <c r="X31" s="10">
        <v>72.459999999999994</v>
      </c>
      <c r="Y31" s="10">
        <v>72.599999999999994</v>
      </c>
      <c r="Z31" s="10">
        <v>70.83</v>
      </c>
      <c r="AA31" s="10">
        <v>72.02</v>
      </c>
      <c r="AB31" s="95">
        <v>12333500</v>
      </c>
      <c r="AC31" s="10">
        <v>71.56</v>
      </c>
      <c r="AD31" s="40">
        <f t="shared" si="1"/>
        <v>1.769999999999996</v>
      </c>
      <c r="AE31" s="162">
        <f t="shared" si="2"/>
        <v>-1.0372009403955218E-2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42711</v>
      </c>
      <c r="X32" s="10">
        <v>71.78</v>
      </c>
      <c r="Y32" s="10">
        <v>72.900000000000006</v>
      </c>
      <c r="Z32" s="10">
        <v>71.55</v>
      </c>
      <c r="AA32" s="10">
        <v>72.78</v>
      </c>
      <c r="AB32" s="95">
        <v>13061000</v>
      </c>
      <c r="AC32" s="10">
        <v>72.31</v>
      </c>
      <c r="AD32" s="40">
        <f t="shared" si="1"/>
        <v>1.3500000000000085</v>
      </c>
      <c r="AE32" s="162">
        <f t="shared" si="2"/>
        <v>4.1660880433271874E-3</v>
      </c>
    </row>
    <row r="33" spans="1:31" x14ac:dyDescent="0.25">
      <c r="W33" s="133">
        <v>42710</v>
      </c>
      <c r="X33" s="10">
        <v>72.67</v>
      </c>
      <c r="Y33" s="10">
        <v>72.67</v>
      </c>
      <c r="Z33" s="10">
        <v>71.95</v>
      </c>
      <c r="AA33" s="10">
        <v>72.47</v>
      </c>
      <c r="AB33" s="95">
        <v>8723900</v>
      </c>
      <c r="AC33" s="10">
        <v>72.010000000000005</v>
      </c>
      <c r="AD33" s="40">
        <f t="shared" si="1"/>
        <v>0.71999999999999886</v>
      </c>
      <c r="AE33" s="162">
        <f t="shared" si="2"/>
        <v>1.5299026425590334E-3</v>
      </c>
    </row>
    <row r="34" spans="1:31" x14ac:dyDescent="0.25">
      <c r="W34" s="133">
        <v>42709</v>
      </c>
      <c r="X34" s="10">
        <v>72.790000000000006</v>
      </c>
      <c r="Y34" s="10">
        <v>72.97</v>
      </c>
      <c r="Z34" s="10">
        <v>71.930000000000007</v>
      </c>
      <c r="AA34" s="10">
        <v>72.36</v>
      </c>
      <c r="AB34" s="95">
        <v>9985900</v>
      </c>
      <c r="AC34" s="10">
        <v>71.900000000000006</v>
      </c>
      <c r="AD34" s="40">
        <f t="shared" si="1"/>
        <v>1.039999999999992</v>
      </c>
      <c r="AE34" s="162">
        <f t="shared" si="2"/>
        <v>-8.3379655364079763E-4</v>
      </c>
    </row>
    <row r="35" spans="1:31" x14ac:dyDescent="0.25">
      <c r="W35" s="133">
        <v>42706</v>
      </c>
      <c r="X35" s="10">
        <v>73.040000000000006</v>
      </c>
      <c r="Y35" s="10">
        <v>73.599999999999994</v>
      </c>
      <c r="Z35" s="10">
        <v>72.16</v>
      </c>
      <c r="AA35" s="10">
        <v>72.42</v>
      </c>
      <c r="AB35" s="95">
        <v>9227900</v>
      </c>
      <c r="AC35" s="10">
        <v>71.959999999999994</v>
      </c>
      <c r="AD35" s="40">
        <f t="shared" si="1"/>
        <v>1.4399999999999977</v>
      </c>
      <c r="AE35" s="162">
        <f t="shared" si="2"/>
        <v>-5.665330938234181E-3</v>
      </c>
    </row>
    <row r="36" spans="1:31" x14ac:dyDescent="0.25">
      <c r="W36" s="133">
        <v>42705</v>
      </c>
      <c r="X36" s="10">
        <v>73.97</v>
      </c>
      <c r="Y36" s="10">
        <v>74.03</v>
      </c>
      <c r="Z36" s="10">
        <v>72.72</v>
      </c>
      <c r="AA36" s="10">
        <v>72.84</v>
      </c>
      <c r="AB36" s="95">
        <v>8270200</v>
      </c>
      <c r="AC36" s="10">
        <v>72.37</v>
      </c>
      <c r="AD36" s="40">
        <f t="shared" si="1"/>
        <v>1.3100000000000023</v>
      </c>
      <c r="AE36" s="162">
        <f t="shared" si="2"/>
        <v>-1.1743820838454155E-2</v>
      </c>
    </row>
    <row r="37" spans="1:31" x14ac:dyDescent="0.25">
      <c r="W37" s="133">
        <v>42704</v>
      </c>
      <c r="X37" s="10">
        <v>75</v>
      </c>
      <c r="Y37" s="10">
        <v>75.08</v>
      </c>
      <c r="Z37" s="10">
        <v>73.59</v>
      </c>
      <c r="AA37" s="10">
        <v>73.7</v>
      </c>
      <c r="AB37" s="95">
        <v>10627300</v>
      </c>
      <c r="AC37" s="10">
        <v>73.23</v>
      </c>
      <c r="AD37" s="40">
        <f t="shared" si="1"/>
        <v>1.4899999999999949</v>
      </c>
      <c r="AE37" s="162">
        <f t="shared" si="2"/>
        <v>-1.5593493749159748E-2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42703</v>
      </c>
      <c r="X38" s="10">
        <v>74.69</v>
      </c>
      <c r="Y38" s="10">
        <v>75.400000000000006</v>
      </c>
      <c r="Z38" s="10">
        <v>74.290000000000006</v>
      </c>
      <c r="AA38" s="10">
        <v>74.87</v>
      </c>
      <c r="AB38" s="95">
        <v>7160700</v>
      </c>
      <c r="AC38" s="10">
        <v>74.39</v>
      </c>
      <c r="AD38" s="40">
        <f t="shared" si="1"/>
        <v>1.1099999999999994</v>
      </c>
      <c r="AE38" s="162">
        <f t="shared" si="2"/>
        <v>4.4558466108559625E-3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42702</v>
      </c>
      <c r="X39" s="10">
        <v>75.3</v>
      </c>
      <c r="Y39" s="10">
        <v>75.44</v>
      </c>
      <c r="Z39" s="10">
        <v>74.22</v>
      </c>
      <c r="AA39" s="10">
        <v>74.540000000000006</v>
      </c>
      <c r="AB39" s="95">
        <v>9338900</v>
      </c>
      <c r="AC39" s="10">
        <v>74.06</v>
      </c>
      <c r="AD39" s="40">
        <f t="shared" si="1"/>
        <v>1.2199999999999989</v>
      </c>
      <c r="AE39" s="162">
        <f t="shared" si="2"/>
        <v>-1.2006403415154687E-2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42699</v>
      </c>
      <c r="X40" s="10">
        <v>75.47</v>
      </c>
      <c r="Y40" s="10">
        <v>75.55</v>
      </c>
      <c r="Z40" s="10">
        <v>74.87</v>
      </c>
      <c r="AA40" s="10">
        <v>75.44</v>
      </c>
      <c r="AB40" s="95">
        <v>3068600</v>
      </c>
      <c r="AC40" s="10">
        <v>74.959999999999994</v>
      </c>
      <c r="AD40" s="40">
        <f t="shared" si="1"/>
        <v>0.67999999999999261</v>
      </c>
      <c r="AE40" s="162">
        <f t="shared" si="2"/>
        <v>1.8711574445335888E-3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42697</v>
      </c>
      <c r="X41" s="10">
        <v>73.849999999999994</v>
      </c>
      <c r="Y41" s="10">
        <v>75.349999999999994</v>
      </c>
      <c r="Z41" s="10">
        <v>73.760000000000005</v>
      </c>
      <c r="AA41" s="10">
        <v>75.3</v>
      </c>
      <c r="AB41" s="95">
        <v>6849200</v>
      </c>
      <c r="AC41" s="10">
        <v>74.819999999999993</v>
      </c>
      <c r="AD41" s="40">
        <f t="shared" si="1"/>
        <v>1.5899999999999892</v>
      </c>
      <c r="AE41" s="162">
        <f t="shared" si="2"/>
        <v>1.1354420113544039E-2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2" t="s">
        <v>78</v>
      </c>
      <c r="P42" s="632"/>
      <c r="T42" s="91" t="s">
        <v>113</v>
      </c>
      <c r="W42" s="133">
        <v>42696</v>
      </c>
      <c r="X42" s="10">
        <v>75.06</v>
      </c>
      <c r="Y42" s="10">
        <v>75.44</v>
      </c>
      <c r="Z42" s="10">
        <v>74.02</v>
      </c>
      <c r="AA42" s="10">
        <v>74.459999999999994</v>
      </c>
      <c r="AB42" s="95">
        <v>6019600</v>
      </c>
      <c r="AC42" s="10">
        <v>73.98</v>
      </c>
      <c r="AD42" s="40">
        <f t="shared" si="1"/>
        <v>1.4200000000000017</v>
      </c>
      <c r="AE42" s="162">
        <f t="shared" si="2"/>
        <v>-6.9798657718119772E-3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78.111000000000018</v>
      </c>
      <c r="Q43" s="2"/>
      <c r="T43" s="128" t="s">
        <v>98</v>
      </c>
      <c r="U43" s="98">
        <v>71.569999999999993</v>
      </c>
      <c r="W43" s="133">
        <v>42695</v>
      </c>
      <c r="X43" s="10">
        <v>74.66</v>
      </c>
      <c r="Y43" s="10">
        <v>75.19</v>
      </c>
      <c r="Z43" s="10">
        <v>74.45</v>
      </c>
      <c r="AA43" s="10">
        <v>74.98</v>
      </c>
      <c r="AB43" s="95">
        <v>6810600</v>
      </c>
      <c r="AC43" s="10">
        <v>74.5</v>
      </c>
      <c r="AD43" s="40">
        <f t="shared" si="1"/>
        <v>0.73999999999999488</v>
      </c>
      <c r="AE43" s="162">
        <f t="shared" si="2"/>
        <v>4.8556784461828428E-3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77.400900000000007</v>
      </c>
      <c r="Q44" s="2"/>
      <c r="T44" s="93" t="s">
        <v>99</v>
      </c>
      <c r="U44" s="88">
        <v>71.97</v>
      </c>
      <c r="W44" s="133">
        <v>42692</v>
      </c>
      <c r="X44" s="10">
        <v>75.59</v>
      </c>
      <c r="Y44" s="10">
        <v>75.739999999999995</v>
      </c>
      <c r="Z44" s="10">
        <v>74.25</v>
      </c>
      <c r="AA44" s="10">
        <v>74.62</v>
      </c>
      <c r="AB44" s="95">
        <v>8194300</v>
      </c>
      <c r="AC44" s="10">
        <v>74.14</v>
      </c>
      <c r="AD44" s="40">
        <f t="shared" si="1"/>
        <v>1.4899999999999949</v>
      </c>
      <c r="AE44" s="162">
        <f t="shared" si="2"/>
        <v>-1.2782956058588479E-2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76.69080000000001</v>
      </c>
      <c r="Q45" s="2"/>
      <c r="T45" s="93" t="s">
        <v>100</v>
      </c>
      <c r="U45" s="88" t="s">
        <v>586</v>
      </c>
      <c r="W45" s="133">
        <v>42691</v>
      </c>
      <c r="X45" s="10">
        <v>75.72</v>
      </c>
      <c r="Y45" s="10">
        <v>76.02</v>
      </c>
      <c r="Z45" s="10">
        <v>74.849999999999994</v>
      </c>
      <c r="AA45" s="10">
        <v>75.58</v>
      </c>
      <c r="AB45" s="95">
        <v>9413500</v>
      </c>
      <c r="AC45" s="10">
        <v>75.099999999999994</v>
      </c>
      <c r="AD45" s="40">
        <f t="shared" si="1"/>
        <v>1.1700000000000017</v>
      </c>
      <c r="AE45" s="162">
        <f t="shared" si="2"/>
        <v>-5.4297444047147758E-3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75.980700000000013</v>
      </c>
      <c r="Q46" s="2"/>
      <c r="T46" s="93" t="s">
        <v>101</v>
      </c>
      <c r="U46" s="88" t="s">
        <v>587</v>
      </c>
      <c r="W46" s="133">
        <v>42690</v>
      </c>
      <c r="X46" s="10">
        <v>76.08</v>
      </c>
      <c r="Y46" s="10">
        <v>76.88</v>
      </c>
      <c r="Z46" s="10">
        <v>75.569999999999993</v>
      </c>
      <c r="AA46" s="10">
        <v>76</v>
      </c>
      <c r="AB46" s="95">
        <v>8415000</v>
      </c>
      <c r="AC46" s="10">
        <v>75.510000000000005</v>
      </c>
      <c r="AD46" s="40">
        <f t="shared" si="1"/>
        <v>1.3100000000000023</v>
      </c>
      <c r="AE46" s="162">
        <f t="shared" si="2"/>
        <v>-4.6137621935142814E-3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75.270600000000016</v>
      </c>
      <c r="Q47" s="2"/>
      <c r="T47" s="93" t="s">
        <v>102</v>
      </c>
      <c r="U47" s="88">
        <v>95.01</v>
      </c>
      <c r="W47" s="133">
        <v>42689</v>
      </c>
      <c r="X47" s="10">
        <v>77.03</v>
      </c>
      <c r="Y47" s="10">
        <v>77.11</v>
      </c>
      <c r="Z47" s="10">
        <v>75</v>
      </c>
      <c r="AA47" s="10">
        <v>76.349999999999994</v>
      </c>
      <c r="AB47" s="95">
        <v>8560100</v>
      </c>
      <c r="AC47" s="10">
        <v>75.86</v>
      </c>
      <c r="AD47" s="40">
        <f t="shared" si="1"/>
        <v>2.1099999999999994</v>
      </c>
      <c r="AE47" s="162">
        <f t="shared" si="2"/>
        <v>-5.2452137424601197E-3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74.560500000000005</v>
      </c>
      <c r="Q48" s="2"/>
      <c r="T48" s="93" t="s">
        <v>103</v>
      </c>
      <c r="U48" s="88">
        <v>0.88211300000000004</v>
      </c>
      <c r="W48" s="133">
        <v>42688</v>
      </c>
      <c r="X48" s="10">
        <v>77.040000000000006</v>
      </c>
      <c r="Y48" s="10">
        <v>77.13</v>
      </c>
      <c r="Z48" s="10">
        <v>76.069999999999993</v>
      </c>
      <c r="AA48" s="10">
        <v>76.75</v>
      </c>
      <c r="AB48" s="95">
        <v>8832800</v>
      </c>
      <c r="AC48" s="10">
        <v>76.260000000000005</v>
      </c>
      <c r="AD48" s="40">
        <f t="shared" si="1"/>
        <v>1.0600000000000023</v>
      </c>
      <c r="AE48" s="162">
        <f t="shared" si="2"/>
        <v>4.3461082576057297E-3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73.850400000000008</v>
      </c>
      <c r="Q49" s="2"/>
      <c r="T49" s="93" t="s">
        <v>104</v>
      </c>
      <c r="U49" s="88" t="s">
        <v>415</v>
      </c>
      <c r="W49" s="133">
        <v>42685</v>
      </c>
      <c r="X49" s="10">
        <v>77.48</v>
      </c>
      <c r="Y49" s="10">
        <v>77.510000000000005</v>
      </c>
      <c r="Z49" s="10">
        <v>75.290000000000006</v>
      </c>
      <c r="AA49" s="10">
        <v>76.42</v>
      </c>
      <c r="AB49" s="95">
        <v>12949600</v>
      </c>
      <c r="AC49" s="10">
        <v>75.930000000000007</v>
      </c>
      <c r="AD49" s="40">
        <f t="shared" si="1"/>
        <v>2.2199999999999989</v>
      </c>
      <c r="AE49" s="162">
        <f t="shared" si="2"/>
        <v>-1.8231186966640722E-2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73.140300000000011</v>
      </c>
      <c r="Q50" s="2"/>
      <c r="T50" s="93"/>
      <c r="U50" s="88"/>
      <c r="W50" s="133">
        <v>42684</v>
      </c>
      <c r="X50" s="10">
        <v>79.66</v>
      </c>
      <c r="Y50" s="10">
        <v>80</v>
      </c>
      <c r="Z50" s="10">
        <v>76.94</v>
      </c>
      <c r="AA50" s="10">
        <v>77.84</v>
      </c>
      <c r="AB50" s="95">
        <v>16651800</v>
      </c>
      <c r="AC50" s="10">
        <v>77.34</v>
      </c>
      <c r="AD50" s="40">
        <f t="shared" si="1"/>
        <v>3.0600000000000023</v>
      </c>
      <c r="AE50" s="162">
        <f t="shared" si="2"/>
        <v>-8.0800307810695582E-3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72.430200000000013</v>
      </c>
      <c r="Q51" s="2"/>
      <c r="T51" s="93" t="s">
        <v>105</v>
      </c>
      <c r="U51" s="88" t="s">
        <v>588</v>
      </c>
      <c r="W51" s="133">
        <v>42683</v>
      </c>
      <c r="X51" s="10">
        <v>76.8</v>
      </c>
      <c r="Y51" s="10">
        <v>80</v>
      </c>
      <c r="Z51" s="10">
        <v>76.75</v>
      </c>
      <c r="AA51" s="10">
        <v>78.47</v>
      </c>
      <c r="AB51" s="95">
        <v>26693700</v>
      </c>
      <c r="AC51" s="10">
        <v>77.97</v>
      </c>
      <c r="AD51" s="40">
        <f t="shared" si="1"/>
        <v>3.25</v>
      </c>
      <c r="AE51" s="162">
        <f t="shared" si="2"/>
        <v>5.9806986543428087E-2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71.720100000000002</v>
      </c>
      <c r="Q52" s="2"/>
      <c r="T52" s="93" t="s">
        <v>106</v>
      </c>
      <c r="U52" s="88" t="s">
        <v>589</v>
      </c>
      <c r="W52" s="133">
        <v>42682</v>
      </c>
      <c r="X52" s="10">
        <v>73.930000000000007</v>
      </c>
      <c r="Y52" s="10">
        <v>74.66</v>
      </c>
      <c r="Z52" s="10">
        <v>73.290000000000006</v>
      </c>
      <c r="AA52" s="10">
        <v>74.040000000000006</v>
      </c>
      <c r="AB52" s="95">
        <v>7449600</v>
      </c>
      <c r="AC52" s="10">
        <v>73.569999999999993</v>
      </c>
      <c r="AD52" s="40">
        <f t="shared" si="1"/>
        <v>1.3699999999999903</v>
      </c>
      <c r="AE52" s="162">
        <f t="shared" si="2"/>
        <v>5.4399564803464528E-4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71.010000000000005</v>
      </c>
      <c r="Q53" s="2"/>
      <c r="T53" s="93" t="s">
        <v>107</v>
      </c>
      <c r="U53" s="90">
        <v>10270332</v>
      </c>
      <c r="W53" s="133">
        <v>42681</v>
      </c>
      <c r="X53" s="10">
        <v>73.48</v>
      </c>
      <c r="Y53" s="10">
        <v>74.709999999999994</v>
      </c>
      <c r="Z53" s="10">
        <v>73.05</v>
      </c>
      <c r="AA53" s="10">
        <v>74</v>
      </c>
      <c r="AB53" s="95">
        <v>9513500</v>
      </c>
      <c r="AC53" s="10">
        <v>73.53</v>
      </c>
      <c r="AD53" s="40">
        <f t="shared" si="1"/>
        <v>1.6599999999999966</v>
      </c>
      <c r="AE53" s="162">
        <f t="shared" si="2"/>
        <v>2.1675698207586525E-2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70.299900000000008</v>
      </c>
      <c r="Q54" s="2"/>
      <c r="T54" s="93" t="s">
        <v>110</v>
      </c>
      <c r="U54" s="90">
        <v>9755930</v>
      </c>
      <c r="W54" s="133">
        <v>42678</v>
      </c>
      <c r="X54" s="10">
        <v>71.52</v>
      </c>
      <c r="Y54" s="10">
        <v>73.290000000000006</v>
      </c>
      <c r="Z54" s="10">
        <v>71.39</v>
      </c>
      <c r="AA54" s="10">
        <v>72.430000000000007</v>
      </c>
      <c r="AB54" s="95">
        <v>11779500</v>
      </c>
      <c r="AC54" s="10">
        <v>71.97</v>
      </c>
      <c r="AD54" s="40">
        <f t="shared" si="1"/>
        <v>1.9000000000000057</v>
      </c>
      <c r="AE54" s="162">
        <f t="shared" si="2"/>
        <v>9.3969144460028797E-3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69.589799999999997</v>
      </c>
      <c r="Q55" s="2"/>
      <c r="T55" s="93" t="s">
        <v>108</v>
      </c>
      <c r="U55" s="88" t="s">
        <v>590</v>
      </c>
      <c r="W55" s="133">
        <v>42677</v>
      </c>
      <c r="X55" s="10">
        <v>72.33</v>
      </c>
      <c r="Y55" s="10">
        <v>72.930000000000007</v>
      </c>
      <c r="Z55" s="10">
        <v>71.680000000000007</v>
      </c>
      <c r="AA55" s="10">
        <v>71.760000000000005</v>
      </c>
      <c r="AB55" s="95">
        <v>9286200</v>
      </c>
      <c r="AC55" s="10">
        <v>71.3</v>
      </c>
      <c r="AD55" s="40">
        <f t="shared" si="1"/>
        <v>1.25</v>
      </c>
      <c r="AE55" s="162">
        <f t="shared" si="2"/>
        <v>-1.0409437890353868E-2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68.8797</v>
      </c>
      <c r="T56" s="93" t="s">
        <v>111</v>
      </c>
      <c r="U56" s="88">
        <v>6.57</v>
      </c>
      <c r="W56" s="133">
        <v>42676</v>
      </c>
      <c r="X56" s="10">
        <v>74</v>
      </c>
      <c r="Y56" s="10">
        <v>74.349999999999994</v>
      </c>
      <c r="Z56" s="10">
        <v>72.45</v>
      </c>
      <c r="AA56" s="10">
        <v>72.510000000000005</v>
      </c>
      <c r="AB56" s="95">
        <v>14620000</v>
      </c>
      <c r="AC56" s="10">
        <v>72.05</v>
      </c>
      <c r="AD56" s="40">
        <f t="shared" si="1"/>
        <v>1.8999999999999915</v>
      </c>
      <c r="AE56" s="162">
        <f t="shared" si="2"/>
        <v>-2.1059782608695565E-2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68.169600000000003</v>
      </c>
      <c r="T57" s="93" t="s">
        <v>112</v>
      </c>
      <c r="U57" s="88">
        <v>10.82</v>
      </c>
      <c r="W57" s="133">
        <v>42675</v>
      </c>
      <c r="X57" s="10">
        <v>73.63</v>
      </c>
      <c r="Y57" s="10">
        <v>74.290000000000006</v>
      </c>
      <c r="Z57" s="10">
        <v>73.06</v>
      </c>
      <c r="AA57" s="10">
        <v>74.069999999999993</v>
      </c>
      <c r="AB57" s="95">
        <v>10741600</v>
      </c>
      <c r="AC57" s="10">
        <v>73.599999999999994</v>
      </c>
      <c r="AD57" s="40">
        <f t="shared" si="1"/>
        <v>1.230000000000004</v>
      </c>
      <c r="AE57" s="162">
        <f t="shared" si="2"/>
        <v>6.0142154182614149E-3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67.459500000000006</v>
      </c>
      <c r="T58" s="93" t="s">
        <v>109</v>
      </c>
      <c r="U58" s="88" t="s">
        <v>451</v>
      </c>
      <c r="W58" s="133">
        <v>42674</v>
      </c>
      <c r="X58" s="10">
        <v>74.09</v>
      </c>
      <c r="Y58" s="10">
        <v>74.44</v>
      </c>
      <c r="Z58" s="10">
        <v>73.55</v>
      </c>
      <c r="AA58" s="10">
        <v>73.63</v>
      </c>
      <c r="AB58" s="95">
        <v>8457000</v>
      </c>
      <c r="AC58" s="10">
        <v>73.16</v>
      </c>
      <c r="AD58" s="40">
        <f t="shared" si="1"/>
        <v>0.89000000000000057</v>
      </c>
      <c r="AE58" s="162">
        <f t="shared" si="2"/>
        <v>-3.4055305816645953E-3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66.749399999999994</v>
      </c>
      <c r="W59" s="133">
        <v>42671</v>
      </c>
      <c r="X59" s="10">
        <v>74.75</v>
      </c>
      <c r="Y59" s="10">
        <v>74.78</v>
      </c>
      <c r="Z59" s="10">
        <v>73.23</v>
      </c>
      <c r="AA59" s="10">
        <v>73.88</v>
      </c>
      <c r="AB59" s="95">
        <v>13160000</v>
      </c>
      <c r="AC59" s="10">
        <v>73.41</v>
      </c>
      <c r="AD59" s="40">
        <f t="shared" si="1"/>
        <v>1.5499999999999972</v>
      </c>
      <c r="AE59" s="162">
        <f t="shared" si="2"/>
        <v>-2.5617202017520713E-2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66.039300000000011</v>
      </c>
      <c r="W60" s="133">
        <v>42670</v>
      </c>
      <c r="X60" s="10">
        <v>75.930000000000007</v>
      </c>
      <c r="Y60" s="10">
        <v>76.36</v>
      </c>
      <c r="Z60" s="10">
        <v>75.64</v>
      </c>
      <c r="AA60" s="10">
        <v>75.83</v>
      </c>
      <c r="AB60" s="95">
        <v>9596400</v>
      </c>
      <c r="AC60" s="10">
        <v>75.34</v>
      </c>
      <c r="AD60" s="40">
        <f t="shared" si="1"/>
        <v>0.71999999999999886</v>
      </c>
      <c r="AE60" s="162">
        <f t="shared" si="2"/>
        <v>5.8744993324433281E-3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65.329200000000014</v>
      </c>
      <c r="W61" s="133">
        <v>42669</v>
      </c>
      <c r="X61" s="10">
        <v>74.510000000000005</v>
      </c>
      <c r="Y61" s="10">
        <v>75.8</v>
      </c>
      <c r="Z61" s="10">
        <v>74.260000000000005</v>
      </c>
      <c r="AA61" s="10">
        <v>75.38</v>
      </c>
      <c r="AB61" s="95">
        <v>8333000</v>
      </c>
      <c r="AC61" s="10">
        <v>74.900000000000006</v>
      </c>
      <c r="AD61" s="40">
        <f t="shared" si="1"/>
        <v>1.539999999999992</v>
      </c>
      <c r="AE61" s="162">
        <f t="shared" si="2"/>
        <v>1.3120519410252829E-2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64.619100000000003</v>
      </c>
      <c r="W62" s="133">
        <v>42668</v>
      </c>
      <c r="X62" s="10">
        <v>74.040000000000006</v>
      </c>
      <c r="Y62" s="10">
        <v>74.680000000000007</v>
      </c>
      <c r="Z62" s="10">
        <v>73.91</v>
      </c>
      <c r="AA62" s="10">
        <v>74.41</v>
      </c>
      <c r="AB62" s="95">
        <v>6140800</v>
      </c>
      <c r="AC62" s="10">
        <v>73.930000000000007</v>
      </c>
      <c r="AD62" s="40">
        <f t="shared" si="1"/>
        <v>0.77000000000001023</v>
      </c>
      <c r="AE62" s="162">
        <f t="shared" si="2"/>
        <v>3.3930510314874596E-3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63.909000000000006</v>
      </c>
      <c r="W63" s="133">
        <v>42667</v>
      </c>
      <c r="X63" s="10">
        <v>74.510000000000005</v>
      </c>
      <c r="Y63" s="10">
        <v>74.78</v>
      </c>
      <c r="Z63" s="10">
        <v>73.739999999999995</v>
      </c>
      <c r="AA63" s="10">
        <v>74.150000000000006</v>
      </c>
      <c r="AB63" s="95">
        <v>7404000</v>
      </c>
      <c r="AC63" s="10">
        <v>73.680000000000007</v>
      </c>
      <c r="AD63" s="40">
        <f t="shared" si="1"/>
        <v>1.0400000000000063</v>
      </c>
      <c r="AE63" s="162">
        <f t="shared" si="2"/>
        <v>-1.7612789594905198E-3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42664</v>
      </c>
      <c r="X64" s="10">
        <v>74.099999999999994</v>
      </c>
      <c r="Y64" s="10">
        <v>74.94</v>
      </c>
      <c r="Z64" s="10">
        <v>73.78</v>
      </c>
      <c r="AA64" s="10">
        <v>74.290000000000006</v>
      </c>
      <c r="AB64" s="95">
        <v>8256500</v>
      </c>
      <c r="AC64" s="10">
        <v>73.81</v>
      </c>
      <c r="AD64" s="40">
        <f t="shared" si="1"/>
        <v>1.1599999999999966</v>
      </c>
      <c r="AE64" s="162">
        <f t="shared" si="2"/>
        <v>-2.7089259108759034E-4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42663</v>
      </c>
      <c r="X65" s="10">
        <v>73.14</v>
      </c>
      <c r="Y65" s="10">
        <v>74.81</v>
      </c>
      <c r="Z65" s="10">
        <v>73.099999999999994</v>
      </c>
      <c r="AA65" s="10">
        <v>74.31</v>
      </c>
      <c r="AB65" s="95">
        <v>10351400</v>
      </c>
      <c r="AC65" s="10">
        <v>73.83</v>
      </c>
      <c r="AD65" s="40">
        <f t="shared" si="1"/>
        <v>1.710000000000008</v>
      </c>
      <c r="AE65" s="162">
        <f t="shared" si="2"/>
        <v>1.317414573898712E-2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42662</v>
      </c>
      <c r="X66" s="10">
        <v>73.5</v>
      </c>
      <c r="Y66" s="10">
        <v>73.92</v>
      </c>
      <c r="Z66" s="10">
        <v>73.31</v>
      </c>
      <c r="AA66" s="10">
        <v>73.34</v>
      </c>
      <c r="AB66" s="95">
        <v>6326400</v>
      </c>
      <c r="AC66" s="10">
        <v>72.87</v>
      </c>
      <c r="AD66" s="40">
        <f t="shared" si="1"/>
        <v>0.60999999999999943</v>
      </c>
      <c r="AE66" s="162">
        <f t="shared" si="2"/>
        <v>-9.596928982724684E-4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42661</v>
      </c>
      <c r="X67" s="10">
        <v>73.400000000000006</v>
      </c>
      <c r="Y67" s="10">
        <v>73.83</v>
      </c>
      <c r="Z67" s="10">
        <v>72.91</v>
      </c>
      <c r="AA67" s="10">
        <v>73.41</v>
      </c>
      <c r="AB67" s="95">
        <v>6353500</v>
      </c>
      <c r="AC67" s="10">
        <v>72.94</v>
      </c>
      <c r="AD67" s="40">
        <f>Y67-Z67</f>
        <v>0.92000000000000171</v>
      </c>
      <c r="AE67" s="162">
        <f>AC67/AC68-1</f>
        <v>1.0529232474369543E-2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42660</v>
      </c>
      <c r="X68" s="10">
        <v>72.540000000000006</v>
      </c>
      <c r="Y68" s="10">
        <v>73.459999999999994</v>
      </c>
      <c r="Z68" s="10">
        <v>72.31</v>
      </c>
      <c r="AA68" s="10">
        <v>72.64</v>
      </c>
      <c r="AB68" s="95">
        <v>8181400</v>
      </c>
      <c r="AC68" s="10">
        <v>72.180000000000007</v>
      </c>
      <c r="AD68" s="40">
        <f>Y68-Z68</f>
        <v>1.1499999999999915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6" si="113">C114*(E114-D114)</f>
        <v>-1451.260000000002</v>
      </c>
      <c r="G114" s="40">
        <f t="shared" ref="G114:G116" si="114">D114*C114</f>
        <v>16205.260000000002</v>
      </c>
      <c r="H114" s="232">
        <f t="shared" ref="H114:H116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464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42755</v>
      </c>
      <c r="X2" s="10">
        <v>67.510000000000005</v>
      </c>
      <c r="Y2" s="10">
        <v>67.989999999999995</v>
      </c>
      <c r="Z2" s="10">
        <v>67.2</v>
      </c>
      <c r="AA2" s="10">
        <v>67.599999999999994</v>
      </c>
      <c r="AB2" s="95">
        <v>209800</v>
      </c>
      <c r="AC2" s="10">
        <v>67.599999999999994</v>
      </c>
      <c r="AD2" s="2">
        <f>Y2-Z2</f>
        <v>0.78999999999999204</v>
      </c>
      <c r="AE2" s="138">
        <f>AC2/AC3-1</f>
        <v>2.0753038837830751E-3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67.599999999999994</v>
      </c>
      <c r="W3" s="133">
        <v>42754</v>
      </c>
      <c r="X3" s="10">
        <v>68.45</v>
      </c>
      <c r="Y3" s="10">
        <v>68.819999999999993</v>
      </c>
      <c r="Z3" s="10">
        <v>66.91</v>
      </c>
      <c r="AA3" s="10">
        <v>67.459999999999994</v>
      </c>
      <c r="AB3" s="95">
        <v>282800</v>
      </c>
      <c r="AC3" s="10">
        <v>67.459999999999994</v>
      </c>
      <c r="AD3" s="2">
        <f t="shared" ref="AD3:AD66" si="0">Y3-Z3</f>
        <v>1.9099999999999966</v>
      </c>
      <c r="AE3" s="138">
        <f t="shared" ref="AE3:AE66" si="1">AC3/AC4-1</f>
        <v>-1.4319111630625381E-2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67.599999999999994</v>
      </c>
      <c r="R4" s="505">
        <v>2.0999999999999999E-3</v>
      </c>
      <c r="W4" s="133">
        <v>42753</v>
      </c>
      <c r="X4" s="10">
        <v>68.19</v>
      </c>
      <c r="Y4" s="10">
        <v>68.55</v>
      </c>
      <c r="Z4" s="10">
        <v>67.77</v>
      </c>
      <c r="AA4" s="10">
        <v>68.44</v>
      </c>
      <c r="AB4" s="95">
        <v>185400</v>
      </c>
      <c r="AC4" s="10">
        <v>68.44</v>
      </c>
      <c r="AD4" s="2">
        <f t="shared" si="0"/>
        <v>0.78000000000000114</v>
      </c>
      <c r="AE4" s="138">
        <f t="shared" si="1"/>
        <v>7.6560659599527181E-3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69.319999999999993</v>
      </c>
      <c r="Y5" s="10">
        <v>69.319999999999993</v>
      </c>
      <c r="Z5" s="10">
        <v>67.819999999999993</v>
      </c>
      <c r="AA5" s="10">
        <v>67.92</v>
      </c>
      <c r="AB5" s="95">
        <v>182900</v>
      </c>
      <c r="AC5" s="10">
        <v>67.92</v>
      </c>
      <c r="AD5" s="2">
        <f t="shared" si="0"/>
        <v>1.5</v>
      </c>
      <c r="AE5" s="138">
        <f t="shared" si="1"/>
        <v>-2.3857430296062021E-2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69.010000000000005</v>
      </c>
      <c r="Y6" s="10">
        <v>69.78</v>
      </c>
      <c r="Z6" s="10">
        <v>69.010000000000005</v>
      </c>
      <c r="AA6" s="10">
        <v>69.58</v>
      </c>
      <c r="AB6" s="95">
        <v>173700</v>
      </c>
      <c r="AC6" s="10">
        <v>69.58</v>
      </c>
      <c r="AD6" s="2">
        <f t="shared" si="0"/>
        <v>0.76999999999999602</v>
      </c>
      <c r="AE6" s="138">
        <f t="shared" si="1"/>
        <v>1.2514551804423846E-2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42747</v>
      </c>
      <c r="X7" s="10">
        <v>69.48</v>
      </c>
      <c r="Y7" s="10">
        <v>69.48</v>
      </c>
      <c r="Z7" s="10">
        <v>67.27</v>
      </c>
      <c r="AA7" s="10">
        <v>68.72</v>
      </c>
      <c r="AB7" s="95">
        <v>189500</v>
      </c>
      <c r="AC7" s="10">
        <v>68.72</v>
      </c>
      <c r="AD7" s="2">
        <f t="shared" si="0"/>
        <v>2.210000000000008</v>
      </c>
      <c r="AE7" s="138">
        <f t="shared" si="1"/>
        <v>-1.3494114269308022E-2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69.05</v>
      </c>
      <c r="Y8" s="10">
        <v>69.77</v>
      </c>
      <c r="Z8" s="10">
        <v>68.97</v>
      </c>
      <c r="AA8" s="10">
        <v>69.66</v>
      </c>
      <c r="AB8" s="95">
        <v>165400</v>
      </c>
      <c r="AC8" s="10">
        <v>69.66</v>
      </c>
      <c r="AD8" s="2">
        <f t="shared" si="0"/>
        <v>0.79999999999999716</v>
      </c>
      <c r="AE8" s="138">
        <f t="shared" si="1"/>
        <v>7.2296124927704319E-3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68.099999999999994</v>
      </c>
      <c r="Y9" s="10">
        <v>69.349999999999994</v>
      </c>
      <c r="Z9" s="10">
        <v>67.69</v>
      </c>
      <c r="AA9" s="10">
        <v>69.16</v>
      </c>
      <c r="AB9" s="95">
        <v>256800</v>
      </c>
      <c r="AC9" s="10">
        <v>69.16</v>
      </c>
      <c r="AD9" s="2">
        <f t="shared" si="0"/>
        <v>1.6599999999999966</v>
      </c>
      <c r="AE9" s="138">
        <f t="shared" si="1"/>
        <v>1.4522517236320809E-2</v>
      </c>
    </row>
    <row r="10" spans="1:31" x14ac:dyDescent="0.25">
      <c r="O10" s="11" t="s">
        <v>214</v>
      </c>
      <c r="P10" s="34"/>
      <c r="Q10" s="2">
        <f>M33</f>
        <v>33.940000000000055</v>
      </c>
      <c r="W10" s="133">
        <v>42744</v>
      </c>
      <c r="X10" s="10">
        <v>69.19</v>
      </c>
      <c r="Y10" s="10">
        <v>69.19</v>
      </c>
      <c r="Z10" s="10">
        <v>67.91</v>
      </c>
      <c r="AA10" s="10">
        <v>68.17</v>
      </c>
      <c r="AB10" s="95">
        <v>272600</v>
      </c>
      <c r="AC10" s="10">
        <v>68.17</v>
      </c>
      <c r="AD10" s="2">
        <f t="shared" si="0"/>
        <v>1.2800000000000011</v>
      </c>
      <c r="AE10" s="138">
        <f t="shared" si="1"/>
        <v>-1.4742014742014642E-2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42741</v>
      </c>
      <c r="X11" s="10">
        <v>68.989999999999995</v>
      </c>
      <c r="Y11" s="10">
        <v>69.48</v>
      </c>
      <c r="Z11" s="10">
        <v>68.569999999999993</v>
      </c>
      <c r="AA11" s="10">
        <v>69.19</v>
      </c>
      <c r="AB11" s="95">
        <v>235800</v>
      </c>
      <c r="AC11" s="10">
        <v>69.19</v>
      </c>
      <c r="AD11" s="2">
        <f t="shared" si="0"/>
        <v>0.9100000000000108</v>
      </c>
      <c r="AE11" s="138">
        <f t="shared" si="1"/>
        <v>-1.4450867052029359E-4</v>
      </c>
    </row>
    <row r="12" spans="1:31" x14ac:dyDescent="0.25">
      <c r="W12" s="133">
        <v>42740</v>
      </c>
      <c r="X12" s="10">
        <v>69.95</v>
      </c>
      <c r="Y12" s="10">
        <v>70.36</v>
      </c>
      <c r="Z12" s="10">
        <v>68.33</v>
      </c>
      <c r="AA12" s="10">
        <v>69.2</v>
      </c>
      <c r="AB12" s="95">
        <v>267200</v>
      </c>
      <c r="AC12" s="10">
        <v>69.2</v>
      </c>
      <c r="AD12" s="2">
        <f t="shared" si="0"/>
        <v>2.0300000000000011</v>
      </c>
      <c r="AE12" s="138">
        <f t="shared" si="1"/>
        <v>-1.410457330103998E-2</v>
      </c>
    </row>
    <row r="13" spans="1:31" x14ac:dyDescent="0.25">
      <c r="W13" s="133">
        <v>42739</v>
      </c>
      <c r="X13" s="10">
        <v>69.760000000000005</v>
      </c>
      <c r="Y13" s="10">
        <v>70.5</v>
      </c>
      <c r="Z13" s="10">
        <v>69.72</v>
      </c>
      <c r="AA13" s="10">
        <v>70.19</v>
      </c>
      <c r="AB13" s="95">
        <v>313100</v>
      </c>
      <c r="AC13" s="10">
        <v>70.19</v>
      </c>
      <c r="AD13" s="2">
        <f t="shared" si="0"/>
        <v>0.78000000000000114</v>
      </c>
      <c r="AE13" s="138">
        <f t="shared" si="1"/>
        <v>1.036418597955957E-2</v>
      </c>
    </row>
    <row r="14" spans="1:31" x14ac:dyDescent="0.25">
      <c r="W14" s="133">
        <v>42738</v>
      </c>
      <c r="X14" s="10">
        <v>69.83</v>
      </c>
      <c r="Y14" s="10">
        <v>70.3</v>
      </c>
      <c r="Z14" s="10">
        <v>68.81</v>
      </c>
      <c r="AA14" s="10">
        <v>69.47</v>
      </c>
      <c r="AB14" s="95">
        <v>212000</v>
      </c>
      <c r="AC14" s="10">
        <v>69.47</v>
      </c>
      <c r="AD14" s="2">
        <f t="shared" si="0"/>
        <v>1.4899999999999949</v>
      </c>
      <c r="AE14" s="138">
        <f t="shared" si="1"/>
        <v>6.0825488776248271E-3</v>
      </c>
    </row>
    <row r="15" spans="1:31" x14ac:dyDescent="0.25">
      <c r="W15" s="133">
        <v>42734</v>
      </c>
      <c r="X15" s="10">
        <v>69.39</v>
      </c>
      <c r="Y15" s="10">
        <v>69.45</v>
      </c>
      <c r="Z15" s="10">
        <v>68.790000000000006</v>
      </c>
      <c r="AA15" s="10">
        <v>69.05</v>
      </c>
      <c r="AB15" s="95">
        <v>164100</v>
      </c>
      <c r="AC15" s="10">
        <v>69.05</v>
      </c>
      <c r="AD15" s="2">
        <f t="shared" si="0"/>
        <v>0.65999999999999659</v>
      </c>
      <c r="AE15" s="138">
        <f t="shared" si="1"/>
        <v>-2.6000288892099599E-3</v>
      </c>
    </row>
    <row r="16" spans="1:31" x14ac:dyDescent="0.25">
      <c r="W16" s="133">
        <v>42733</v>
      </c>
      <c r="X16" s="10">
        <v>69.319999999999993</v>
      </c>
      <c r="Y16" s="10">
        <v>69.62</v>
      </c>
      <c r="Z16" s="10">
        <v>68.67</v>
      </c>
      <c r="AA16" s="10">
        <v>69.23</v>
      </c>
      <c r="AB16" s="95">
        <v>170200</v>
      </c>
      <c r="AC16" s="10">
        <v>69.23</v>
      </c>
      <c r="AD16" s="2">
        <f t="shared" si="0"/>
        <v>0.95000000000000284</v>
      </c>
      <c r="AE16" s="138">
        <f t="shared" si="1"/>
        <v>7.227522405319764E-4</v>
      </c>
    </row>
    <row r="17" spans="1:31" x14ac:dyDescent="0.25">
      <c r="W17" s="133">
        <v>42732</v>
      </c>
      <c r="X17" s="10">
        <v>70.22</v>
      </c>
      <c r="Y17" s="10">
        <v>70.22</v>
      </c>
      <c r="Z17" s="10">
        <v>68.989999999999995</v>
      </c>
      <c r="AA17" s="10">
        <v>69.180000000000007</v>
      </c>
      <c r="AB17" s="95">
        <v>160600</v>
      </c>
      <c r="AC17" s="10">
        <v>69.180000000000007</v>
      </c>
      <c r="AD17" s="2">
        <f t="shared" si="0"/>
        <v>1.230000000000004</v>
      </c>
      <c r="AE17" s="138">
        <f t="shared" si="1"/>
        <v>-1.523131672597855E-2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42731</v>
      </c>
      <c r="X18" s="10">
        <v>70.38</v>
      </c>
      <c r="Y18" s="10">
        <v>70.63</v>
      </c>
      <c r="Z18" s="10">
        <v>70.040000000000006</v>
      </c>
      <c r="AA18" s="10">
        <v>70.25</v>
      </c>
      <c r="AB18" s="95">
        <v>119100</v>
      </c>
      <c r="AC18" s="10">
        <v>70.25</v>
      </c>
      <c r="AD18" s="2">
        <f t="shared" si="0"/>
        <v>0.5899999999999892</v>
      </c>
      <c r="AE18" s="138">
        <f t="shared" si="1"/>
        <v>-1.988918880522772E-3</v>
      </c>
    </row>
    <row r="19" spans="1:31" x14ac:dyDescent="0.25">
      <c r="W19" s="133">
        <v>42727</v>
      </c>
      <c r="X19" s="10">
        <v>70.2</v>
      </c>
      <c r="Y19" s="10">
        <v>70.94</v>
      </c>
      <c r="Z19" s="10">
        <v>69.900000000000006</v>
      </c>
      <c r="AA19" s="10">
        <v>70.39</v>
      </c>
      <c r="AB19" s="95">
        <v>117100</v>
      </c>
      <c r="AC19" s="10">
        <v>70.39</v>
      </c>
      <c r="AD19" s="2">
        <f t="shared" si="0"/>
        <v>1.039999999999992</v>
      </c>
      <c r="AE19" s="138">
        <f t="shared" si="1"/>
        <v>3.2782212086659435E-3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42726</v>
      </c>
      <c r="X20" s="10">
        <v>70.09</v>
      </c>
      <c r="Y20" s="10">
        <v>70.41</v>
      </c>
      <c r="Z20" s="10">
        <v>69.39</v>
      </c>
      <c r="AA20" s="10">
        <v>70.16</v>
      </c>
      <c r="AB20" s="95">
        <v>200500</v>
      </c>
      <c r="AC20" s="10">
        <v>70.16</v>
      </c>
      <c r="AD20" s="2">
        <f t="shared" si="0"/>
        <v>1.019999999999996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42725</v>
      </c>
      <c r="X21" s="10">
        <v>70.650000000000006</v>
      </c>
      <c r="Y21" s="10">
        <v>70.930000000000007</v>
      </c>
      <c r="Z21" s="10">
        <v>69.94</v>
      </c>
      <c r="AA21" s="10">
        <v>70.08</v>
      </c>
      <c r="AB21" s="95">
        <v>246600</v>
      </c>
      <c r="AC21" s="10">
        <v>70.08</v>
      </c>
      <c r="AD21" s="2">
        <f t="shared" si="0"/>
        <v>0.99000000000000909</v>
      </c>
      <c r="AE21" s="138">
        <f t="shared" si="1"/>
        <v>-5.3931308543854195E-3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42724</v>
      </c>
      <c r="X22" s="10">
        <v>70.150000000000006</v>
      </c>
      <c r="Y22" s="10">
        <v>70.739999999999995</v>
      </c>
      <c r="Z22" s="10">
        <v>69.64</v>
      </c>
      <c r="AA22" s="10">
        <v>70.459999999999994</v>
      </c>
      <c r="AB22" s="95">
        <v>197000</v>
      </c>
      <c r="AC22" s="10">
        <v>70.459999999999994</v>
      </c>
      <c r="AD22" s="2">
        <f t="shared" si="0"/>
        <v>1.0999999999999943</v>
      </c>
      <c r="AE22" s="138">
        <f t="shared" si="1"/>
        <v>6.5714285714284504E-3</v>
      </c>
    </row>
    <row r="23" spans="1:31" x14ac:dyDescent="0.25">
      <c r="B23" s="10"/>
      <c r="C23" s="10"/>
      <c r="D23" s="40"/>
      <c r="E23" s="40"/>
      <c r="F23" s="40"/>
      <c r="W23" s="133">
        <v>42723</v>
      </c>
      <c r="X23" s="10">
        <v>69.790000000000006</v>
      </c>
      <c r="Y23" s="10">
        <v>70.319999999999993</v>
      </c>
      <c r="Z23" s="10">
        <v>69.25</v>
      </c>
      <c r="AA23" s="10">
        <v>70</v>
      </c>
      <c r="AB23" s="95">
        <v>257800</v>
      </c>
      <c r="AC23" s="10">
        <v>70</v>
      </c>
      <c r="AD23" s="2">
        <f t="shared" si="0"/>
        <v>1.0699999999999932</v>
      </c>
      <c r="AE23" s="138">
        <f t="shared" si="1"/>
        <v>7.6291924571758596E-3</v>
      </c>
    </row>
    <row r="24" spans="1:31" x14ac:dyDescent="0.25">
      <c r="B24" s="10"/>
      <c r="C24" s="10"/>
      <c r="D24" s="40"/>
      <c r="E24" s="40"/>
      <c r="F24" s="40"/>
      <c r="W24" s="133">
        <v>42720</v>
      </c>
      <c r="X24" s="10">
        <v>70.3</v>
      </c>
      <c r="Y24" s="10">
        <v>70.900000000000006</v>
      </c>
      <c r="Z24" s="10">
        <v>69.38</v>
      </c>
      <c r="AA24" s="10">
        <v>69.47</v>
      </c>
      <c r="AB24" s="95">
        <v>876900</v>
      </c>
      <c r="AC24" s="10">
        <v>69.47</v>
      </c>
      <c r="AD24" s="2">
        <f t="shared" si="0"/>
        <v>1.5200000000000102</v>
      </c>
      <c r="AE24" s="138">
        <f t="shared" si="1"/>
        <v>-9.5523239235814073E-3</v>
      </c>
    </row>
    <row r="25" spans="1:31" x14ac:dyDescent="0.25">
      <c r="B25" s="10"/>
      <c r="C25" s="10"/>
      <c r="D25" s="40"/>
      <c r="E25" s="40"/>
      <c r="F25" s="40"/>
      <c r="W25" s="133">
        <v>42719</v>
      </c>
      <c r="X25" s="10">
        <v>69.22</v>
      </c>
      <c r="Y25" s="10">
        <v>70.37</v>
      </c>
      <c r="Z25" s="10">
        <v>68.89</v>
      </c>
      <c r="AA25" s="10">
        <v>70.14</v>
      </c>
      <c r="AB25" s="95">
        <v>263300</v>
      </c>
      <c r="AC25" s="10">
        <v>70.14</v>
      </c>
      <c r="AD25" s="2">
        <f t="shared" si="0"/>
        <v>1.480000000000004</v>
      </c>
      <c r="AE25" s="138">
        <f t="shared" si="1"/>
        <v>1.3290956370991092E-2</v>
      </c>
    </row>
    <row r="26" spans="1:31" x14ac:dyDescent="0.25">
      <c r="B26" s="10"/>
      <c r="C26" s="10"/>
      <c r="D26" s="40"/>
      <c r="E26" s="40"/>
      <c r="F26" s="40"/>
      <c r="W26" s="133">
        <v>42718</v>
      </c>
      <c r="X26" s="10">
        <v>70.39</v>
      </c>
      <c r="Y26" s="10">
        <v>71.08</v>
      </c>
      <c r="Z26" s="10">
        <v>69.11</v>
      </c>
      <c r="AA26" s="10">
        <v>69.22</v>
      </c>
      <c r="AB26" s="95">
        <v>327700</v>
      </c>
      <c r="AC26" s="10">
        <v>69.22</v>
      </c>
      <c r="AD26" s="2">
        <f t="shared" si="0"/>
        <v>1.9699999999999989</v>
      </c>
      <c r="AE26" s="138">
        <f t="shared" si="1"/>
        <v>-2.0101925254813136E-2</v>
      </c>
    </row>
    <row r="27" spans="1:31" x14ac:dyDescent="0.25">
      <c r="B27" s="10"/>
      <c r="C27" s="10"/>
      <c r="D27" s="40"/>
      <c r="E27" s="40"/>
      <c r="F27" s="40"/>
      <c r="W27" s="133">
        <v>42717</v>
      </c>
      <c r="X27" s="10">
        <v>70.239999999999995</v>
      </c>
      <c r="Y27" s="10">
        <v>71.11</v>
      </c>
      <c r="Z27" s="10">
        <v>69.95</v>
      </c>
      <c r="AA27" s="10">
        <v>70.64</v>
      </c>
      <c r="AB27" s="95">
        <v>362100</v>
      </c>
      <c r="AC27" s="10">
        <v>70.64</v>
      </c>
      <c r="AD27" s="2">
        <f t="shared" si="0"/>
        <v>1.1599999999999966</v>
      </c>
      <c r="AE27" s="138">
        <f t="shared" si="1"/>
        <v>4.9793711765542259E-3</v>
      </c>
    </row>
    <row r="28" spans="1:31" x14ac:dyDescent="0.25">
      <c r="B28" s="10"/>
      <c r="C28" s="10"/>
      <c r="D28" s="40"/>
      <c r="E28" s="40"/>
      <c r="F28" s="40"/>
      <c r="W28" s="133">
        <v>42716</v>
      </c>
      <c r="X28" s="10">
        <v>69.89</v>
      </c>
      <c r="Y28" s="10">
        <v>70.58</v>
      </c>
      <c r="Z28" s="10">
        <v>69.319999999999993</v>
      </c>
      <c r="AA28" s="10">
        <v>70.290000000000006</v>
      </c>
      <c r="AB28" s="95">
        <v>348200</v>
      </c>
      <c r="AC28" s="10">
        <v>70.290000000000006</v>
      </c>
      <c r="AD28" s="2">
        <f t="shared" si="0"/>
        <v>1.2600000000000051</v>
      </c>
      <c r="AE28" s="138">
        <f t="shared" si="1"/>
        <v>3.1397174254319538E-3</v>
      </c>
    </row>
    <row r="29" spans="1:31" x14ac:dyDescent="0.25">
      <c r="B29" s="10"/>
      <c r="C29" s="10"/>
      <c r="D29" s="40"/>
      <c r="E29" s="40"/>
      <c r="F29" s="40"/>
      <c r="W29" s="133">
        <v>42713</v>
      </c>
      <c r="X29" s="10">
        <v>70.760000000000005</v>
      </c>
      <c r="Y29" s="10">
        <v>70.78</v>
      </c>
      <c r="Z29" s="10">
        <v>70</v>
      </c>
      <c r="AA29" s="10">
        <v>70.069999999999993</v>
      </c>
      <c r="AB29" s="95">
        <v>266400</v>
      </c>
      <c r="AC29" s="10">
        <v>70.069999999999993</v>
      </c>
      <c r="AD29" s="2">
        <f t="shared" si="0"/>
        <v>0.78000000000000114</v>
      </c>
      <c r="AE29" s="138">
        <f t="shared" si="1"/>
        <v>-1.0869565217391464E-2</v>
      </c>
    </row>
    <row r="30" spans="1:31" x14ac:dyDescent="0.25">
      <c r="B30" s="10"/>
      <c r="C30" s="10"/>
      <c r="D30" s="40"/>
      <c r="E30" s="40"/>
      <c r="F30" s="40"/>
      <c r="W30" s="133">
        <v>42712</v>
      </c>
      <c r="X30" s="10">
        <v>71.31</v>
      </c>
      <c r="Y30" s="10">
        <v>71.459999999999994</v>
      </c>
      <c r="Z30" s="10">
        <v>70.569999999999993</v>
      </c>
      <c r="AA30" s="10">
        <v>70.84</v>
      </c>
      <c r="AB30" s="95">
        <v>291100</v>
      </c>
      <c r="AC30" s="10">
        <v>70.84</v>
      </c>
      <c r="AD30" s="2">
        <f t="shared" si="0"/>
        <v>0.89000000000000057</v>
      </c>
      <c r="AE30" s="138">
        <f t="shared" si="1"/>
        <v>-3.6568213783402248E-3</v>
      </c>
    </row>
    <row r="31" spans="1:31" x14ac:dyDescent="0.25">
      <c r="W31" s="133">
        <v>42711</v>
      </c>
      <c r="X31" s="10">
        <v>70</v>
      </c>
      <c r="Y31" s="10">
        <v>71.41</v>
      </c>
      <c r="Z31" s="10">
        <v>69.63</v>
      </c>
      <c r="AA31" s="10">
        <v>71.099999999999994</v>
      </c>
      <c r="AB31" s="95">
        <v>321600</v>
      </c>
      <c r="AC31" s="10">
        <v>71.099999999999994</v>
      </c>
      <c r="AD31" s="2">
        <f t="shared" si="0"/>
        <v>1.7800000000000011</v>
      </c>
      <c r="AE31" s="138">
        <f t="shared" si="1"/>
        <v>1.8041237113401998E-2</v>
      </c>
    </row>
    <row r="32" spans="1:31" x14ac:dyDescent="0.25">
      <c r="W32" s="133">
        <v>42710</v>
      </c>
      <c r="X32" s="10">
        <v>69.05</v>
      </c>
      <c r="Y32" s="10">
        <v>69.87</v>
      </c>
      <c r="Z32" s="10">
        <v>68.7</v>
      </c>
      <c r="AA32" s="10">
        <v>69.84</v>
      </c>
      <c r="AB32" s="95">
        <v>369400</v>
      </c>
      <c r="AC32" s="10">
        <v>69.84</v>
      </c>
      <c r="AD32" s="2">
        <f t="shared" si="0"/>
        <v>1.1700000000000017</v>
      </c>
      <c r="AE32" s="138">
        <f t="shared" si="1"/>
        <v>1.2614180078295067E-2</v>
      </c>
    </row>
    <row r="33" spans="1:31" x14ac:dyDescent="0.25">
      <c r="L33" t="s">
        <v>214</v>
      </c>
      <c r="M33" s="2">
        <f>M51+K51-F51</f>
        <v>33.940000000000055</v>
      </c>
      <c r="W33" s="133">
        <v>42709</v>
      </c>
      <c r="X33" s="10">
        <v>69.3</v>
      </c>
      <c r="Y33" s="10">
        <v>69.97</v>
      </c>
      <c r="Z33" s="10">
        <v>68.790000000000006</v>
      </c>
      <c r="AA33" s="10">
        <v>68.97</v>
      </c>
      <c r="AB33" s="95">
        <v>366800</v>
      </c>
      <c r="AC33" s="10">
        <v>68.97</v>
      </c>
      <c r="AD33" s="2">
        <f t="shared" si="0"/>
        <v>1.1799999999999926</v>
      </c>
      <c r="AE33" s="138">
        <f t="shared" si="1"/>
        <v>4.351610095736369E-4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42706</v>
      </c>
      <c r="X34" s="10">
        <v>68.33</v>
      </c>
      <c r="Y34" s="10">
        <v>69.2</v>
      </c>
      <c r="Z34" s="10">
        <v>67.92</v>
      </c>
      <c r="AA34" s="10">
        <v>68.94</v>
      </c>
      <c r="AB34" s="95">
        <v>370500</v>
      </c>
      <c r="AC34" s="10">
        <v>68.94</v>
      </c>
      <c r="AD34" s="2">
        <f t="shared" si="0"/>
        <v>1.2800000000000011</v>
      </c>
      <c r="AE34" s="138">
        <f t="shared" si="1"/>
        <v>8.0421114197981591E-3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42705</v>
      </c>
      <c r="X35" s="10">
        <v>68.14</v>
      </c>
      <c r="Y35" s="10">
        <v>68.53</v>
      </c>
      <c r="Z35" s="10">
        <v>67.78</v>
      </c>
      <c r="AA35" s="10">
        <v>68.39</v>
      </c>
      <c r="AB35" s="95">
        <v>519700</v>
      </c>
      <c r="AC35" s="10">
        <v>68.39</v>
      </c>
      <c r="AD35" s="2">
        <f t="shared" si="0"/>
        <v>0.75</v>
      </c>
      <c r="AE35" s="138">
        <f t="shared" si="1"/>
        <v>9.7445740439980888E-3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42704</v>
      </c>
      <c r="X36" s="10">
        <v>67.5</v>
      </c>
      <c r="Y36" s="10">
        <v>68.34</v>
      </c>
      <c r="Z36" s="10">
        <v>67.5</v>
      </c>
      <c r="AA36" s="10">
        <v>67.73</v>
      </c>
      <c r="AB36" s="95">
        <v>652600</v>
      </c>
      <c r="AC36" s="10">
        <v>67.73</v>
      </c>
      <c r="AD36" s="2">
        <f t="shared" si="0"/>
        <v>0.84000000000000341</v>
      </c>
      <c r="AE36" s="138">
        <f t="shared" si="1"/>
        <v>5.1944197091127187E-3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42703</v>
      </c>
      <c r="X37" s="10">
        <v>67.459999999999994</v>
      </c>
      <c r="Y37" s="10">
        <v>68.45</v>
      </c>
      <c r="Z37" s="10">
        <v>67.34</v>
      </c>
      <c r="AA37" s="10">
        <v>67.38</v>
      </c>
      <c r="AB37" s="95">
        <v>443900</v>
      </c>
      <c r="AC37" s="10">
        <v>67.38</v>
      </c>
      <c r="AD37" s="2">
        <f t="shared" si="0"/>
        <v>1.1099999999999994</v>
      </c>
      <c r="AE37" s="138">
        <f t="shared" si="1"/>
        <v>1.3374944271062894E-3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42702</v>
      </c>
      <c r="X38" s="10">
        <v>67.930000000000007</v>
      </c>
      <c r="Y38" s="10">
        <v>68.069999999999993</v>
      </c>
      <c r="Z38" s="10">
        <v>67.2</v>
      </c>
      <c r="AA38" s="10">
        <v>67.290000000000006</v>
      </c>
      <c r="AB38" s="95">
        <v>308600</v>
      </c>
      <c r="AC38" s="10">
        <v>67.290000000000006</v>
      </c>
      <c r="AD38" s="2">
        <f t="shared" si="0"/>
        <v>0.86999999999999034</v>
      </c>
      <c r="AE38" s="138">
        <f t="shared" si="1"/>
        <v>-1.015004413062659E-2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42699</v>
      </c>
      <c r="X39" s="10">
        <v>67.95</v>
      </c>
      <c r="Y39" s="10">
        <v>67.98</v>
      </c>
      <c r="Z39" s="10">
        <v>67.739999999999995</v>
      </c>
      <c r="AA39" s="10">
        <v>67.98</v>
      </c>
      <c r="AB39" s="95">
        <v>191000</v>
      </c>
      <c r="AC39" s="10">
        <v>67.98</v>
      </c>
      <c r="AD39" s="2">
        <f t="shared" si="0"/>
        <v>0.24000000000000909</v>
      </c>
      <c r="AE39" s="138">
        <f t="shared" si="1"/>
        <v>2.9429075927023263E-4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42697</v>
      </c>
      <c r="X40" s="10">
        <v>67.739999999999995</v>
      </c>
      <c r="Y40" s="10">
        <v>68.98</v>
      </c>
      <c r="Z40" s="10">
        <v>67.05</v>
      </c>
      <c r="AA40" s="10">
        <v>67.959999999999994</v>
      </c>
      <c r="AB40" s="95">
        <v>465600</v>
      </c>
      <c r="AC40" s="10">
        <v>67.959999999999994</v>
      </c>
      <c r="AD40" s="2">
        <f t="shared" si="0"/>
        <v>1.9300000000000068</v>
      </c>
      <c r="AE40" s="138">
        <f t="shared" si="1"/>
        <v>2.2120631175341909E-3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42696</v>
      </c>
      <c r="X41" s="10">
        <v>68.040000000000006</v>
      </c>
      <c r="Y41" s="10">
        <v>68.209999999999994</v>
      </c>
      <c r="Z41" s="10">
        <v>67.66</v>
      </c>
      <c r="AA41" s="10">
        <v>67.81</v>
      </c>
      <c r="AB41" s="95">
        <v>443600</v>
      </c>
      <c r="AC41" s="10">
        <v>67.81</v>
      </c>
      <c r="AD41" s="2">
        <f t="shared" si="0"/>
        <v>0.54999999999999716</v>
      </c>
      <c r="AE41" s="138">
        <f t="shared" si="1"/>
        <v>1.6248153618907413E-3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2" t="s">
        <v>78</v>
      </c>
      <c r="P42" s="632"/>
      <c r="Q42" s="34"/>
      <c r="T42" s="91" t="s">
        <v>113</v>
      </c>
      <c r="W42" s="133">
        <v>42695</v>
      </c>
      <c r="X42" s="10">
        <v>67.400000000000006</v>
      </c>
      <c r="Y42" s="10">
        <v>67.709999999999994</v>
      </c>
      <c r="Z42" s="10">
        <v>67.040000000000006</v>
      </c>
      <c r="AA42" s="10">
        <v>67.7</v>
      </c>
      <c r="AB42" s="95">
        <v>356900</v>
      </c>
      <c r="AC42" s="10">
        <v>67.7</v>
      </c>
      <c r="AD42" s="2">
        <f t="shared" si="0"/>
        <v>0.66999999999998749</v>
      </c>
      <c r="AE42" s="138">
        <f t="shared" si="1"/>
        <v>6.3921510331501619E-3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74.36</v>
      </c>
      <c r="Q43" s="34"/>
      <c r="T43" s="128" t="s">
        <v>98</v>
      </c>
      <c r="U43" s="98">
        <v>67.459999999999994</v>
      </c>
      <c r="W43" s="133">
        <v>42692</v>
      </c>
      <c r="X43" s="10">
        <v>67.25</v>
      </c>
      <c r="Y43" s="10">
        <v>67.45</v>
      </c>
      <c r="Z43" s="10">
        <v>66.73</v>
      </c>
      <c r="AA43" s="10">
        <v>67.27</v>
      </c>
      <c r="AB43" s="95">
        <v>411900</v>
      </c>
      <c r="AC43" s="10">
        <v>67.27</v>
      </c>
      <c r="AD43" s="2">
        <f t="shared" si="0"/>
        <v>0.71999999999999886</v>
      </c>
      <c r="AE43" s="138">
        <f t="shared" si="1"/>
        <v>-1.3361045130642069E-3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73.683999999999997</v>
      </c>
      <c r="Q44" s="34"/>
      <c r="T44" s="93" t="s">
        <v>99</v>
      </c>
      <c r="U44" s="88">
        <v>67.510000000000005</v>
      </c>
      <c r="W44" s="133">
        <v>42691</v>
      </c>
      <c r="X44" s="10">
        <v>68.02</v>
      </c>
      <c r="Y44" s="10">
        <v>68.44</v>
      </c>
      <c r="Z44" s="10">
        <v>67.260000000000005</v>
      </c>
      <c r="AA44" s="10">
        <v>67.36</v>
      </c>
      <c r="AB44" s="95">
        <v>591900</v>
      </c>
      <c r="AC44" s="10">
        <v>67.36</v>
      </c>
      <c r="AD44" s="2">
        <f t="shared" si="0"/>
        <v>1.1799999999999926</v>
      </c>
      <c r="AE44" s="138">
        <f t="shared" si="1"/>
        <v>-8.3909907257472272E-3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73.007999999999996</v>
      </c>
      <c r="Q45" s="34"/>
      <c r="T45" s="93" t="s">
        <v>100</v>
      </c>
      <c r="U45" s="88" t="s">
        <v>129</v>
      </c>
      <c r="W45" s="133">
        <v>42690</v>
      </c>
      <c r="X45" s="10">
        <v>67.45</v>
      </c>
      <c r="Y45" s="10">
        <v>67.95</v>
      </c>
      <c r="Z45" s="10">
        <v>66.400000000000006</v>
      </c>
      <c r="AA45" s="10">
        <v>67.930000000000007</v>
      </c>
      <c r="AB45" s="95">
        <v>471300</v>
      </c>
      <c r="AC45" s="10">
        <v>67.930000000000007</v>
      </c>
      <c r="AD45" s="2">
        <f t="shared" si="0"/>
        <v>1.5499999999999972</v>
      </c>
      <c r="AE45" s="138">
        <f t="shared" si="1"/>
        <v>-2.9433406916845595E-4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72.331999999999994</v>
      </c>
      <c r="Q46" s="83"/>
      <c r="T46" s="93" t="s">
        <v>101</v>
      </c>
      <c r="U46" s="88" t="s">
        <v>129</v>
      </c>
      <c r="W46" s="133">
        <v>42689</v>
      </c>
      <c r="X46" s="10">
        <v>66</v>
      </c>
      <c r="Y46" s="10">
        <v>67.989999999999995</v>
      </c>
      <c r="Z46" s="10">
        <v>64.56</v>
      </c>
      <c r="AA46" s="10">
        <v>67.95</v>
      </c>
      <c r="AB46" s="95">
        <v>701000</v>
      </c>
      <c r="AC46" s="10">
        <v>67.95</v>
      </c>
      <c r="AD46" s="2">
        <f t="shared" si="0"/>
        <v>3.4299999999999926</v>
      </c>
      <c r="AE46" s="138">
        <f t="shared" si="1"/>
        <v>4.2977743668457302E-2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71.655999999999992</v>
      </c>
      <c r="Q47" s="83"/>
      <c r="T47" s="93" t="s">
        <v>102</v>
      </c>
      <c r="U47" s="88">
        <v>69.400000000000006</v>
      </c>
      <c r="W47" s="133">
        <v>42688</v>
      </c>
      <c r="X47" s="10">
        <v>64.97</v>
      </c>
      <c r="Y47" s="10">
        <v>66.3</v>
      </c>
      <c r="Z47" s="10">
        <v>64.12</v>
      </c>
      <c r="AA47" s="10">
        <v>65.150000000000006</v>
      </c>
      <c r="AB47" s="95">
        <v>605200</v>
      </c>
      <c r="AC47" s="10">
        <v>65.150000000000006</v>
      </c>
      <c r="AD47" s="2">
        <f t="shared" si="0"/>
        <v>2.1799999999999926</v>
      </c>
      <c r="AE47" s="138">
        <f t="shared" si="1"/>
        <v>2.5822705085813302E-2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70.98</v>
      </c>
      <c r="Q48" s="83"/>
      <c r="T48" s="93" t="s">
        <v>103</v>
      </c>
      <c r="U48" s="88">
        <v>1.42641</v>
      </c>
      <c r="W48" s="133">
        <v>42685</v>
      </c>
      <c r="X48" s="10">
        <v>63.28</v>
      </c>
      <c r="Y48" s="10">
        <v>64.75</v>
      </c>
      <c r="Z48" s="10">
        <v>62.9</v>
      </c>
      <c r="AA48" s="10">
        <v>63.51</v>
      </c>
      <c r="AB48" s="95">
        <v>953400</v>
      </c>
      <c r="AC48" s="10">
        <v>63.51</v>
      </c>
      <c r="AD48" s="2">
        <f t="shared" si="0"/>
        <v>1.8500000000000014</v>
      </c>
      <c r="AE48" s="138">
        <f t="shared" si="1"/>
        <v>3.9519443566233825E-3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70.304000000000002</v>
      </c>
      <c r="Q49" s="83"/>
      <c r="T49" s="93" t="s">
        <v>104</v>
      </c>
      <c r="U49" s="88" t="s">
        <v>421</v>
      </c>
      <c r="W49" s="133">
        <v>42684</v>
      </c>
      <c r="X49" s="10">
        <v>63.28</v>
      </c>
      <c r="Y49" s="10">
        <v>63.76</v>
      </c>
      <c r="Z49" s="10">
        <v>62.54</v>
      </c>
      <c r="AA49" s="10">
        <v>63.26</v>
      </c>
      <c r="AB49" s="95">
        <v>512300</v>
      </c>
      <c r="AC49" s="10">
        <v>63.26</v>
      </c>
      <c r="AD49" s="2">
        <f t="shared" si="0"/>
        <v>1.2199999999999989</v>
      </c>
      <c r="AE49" s="138">
        <f t="shared" si="1"/>
        <v>6.5234685759745226E-3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69.628</v>
      </c>
      <c r="Q50" s="83"/>
      <c r="T50" s="93"/>
      <c r="U50" s="88"/>
      <c r="W50" s="133">
        <v>42683</v>
      </c>
      <c r="X50" s="10">
        <v>59.47</v>
      </c>
      <c r="Y50" s="10">
        <v>63</v>
      </c>
      <c r="Z50" s="10">
        <v>57.09</v>
      </c>
      <c r="AA50" s="10">
        <v>62.85</v>
      </c>
      <c r="AB50" s="95">
        <v>537900</v>
      </c>
      <c r="AC50" s="10">
        <v>62.85</v>
      </c>
      <c r="AD50" s="2">
        <f t="shared" si="0"/>
        <v>5.9099999999999966</v>
      </c>
      <c r="AE50" s="138" t="e">
        <f t="shared" si="1"/>
        <v>#DIV/0!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68.951999999999998</v>
      </c>
      <c r="Q51" s="83"/>
      <c r="T51" s="93" t="s">
        <v>105</v>
      </c>
      <c r="U51" s="88" t="s">
        <v>591</v>
      </c>
      <c r="W51" s="133">
        <v>42683</v>
      </c>
      <c r="X51" s="10" t="s">
        <v>184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68.275999999999996</v>
      </c>
      <c r="Q52" s="83"/>
      <c r="T52" s="93" t="s">
        <v>106</v>
      </c>
      <c r="U52" s="88" t="s">
        <v>452</v>
      </c>
      <c r="W52" s="133">
        <v>42682</v>
      </c>
      <c r="X52" s="10">
        <v>60.53</v>
      </c>
      <c r="Y52" s="10">
        <v>60.88</v>
      </c>
      <c r="Z52" s="10">
        <v>59.88</v>
      </c>
      <c r="AA52" s="10">
        <v>60.05</v>
      </c>
      <c r="AB52" s="95">
        <v>308200</v>
      </c>
      <c r="AC52" s="10">
        <v>59.94</v>
      </c>
      <c r="AD52" s="2">
        <f t="shared" si="0"/>
        <v>1</v>
      </c>
      <c r="AE52" s="138">
        <f t="shared" si="1"/>
        <v>-6.6291017567120525E-3</v>
      </c>
    </row>
    <row r="53" spans="1:31" x14ac:dyDescent="0.25">
      <c r="O53" s="83">
        <v>1</v>
      </c>
      <c r="P53" s="83">
        <f t="shared" si="2"/>
        <v>67.599999999999994</v>
      </c>
      <c r="Q53" s="83"/>
      <c r="T53" s="93" t="s">
        <v>107</v>
      </c>
      <c r="U53" s="90">
        <v>209793</v>
      </c>
      <c r="W53" s="133">
        <v>42681</v>
      </c>
      <c r="X53" s="10">
        <v>60.19</v>
      </c>
      <c r="Y53" s="10">
        <v>60.74</v>
      </c>
      <c r="Z53" s="10">
        <v>59.51</v>
      </c>
      <c r="AA53" s="10">
        <v>60.45</v>
      </c>
      <c r="AB53" s="95">
        <v>257800</v>
      </c>
      <c r="AC53" s="10">
        <v>60.34</v>
      </c>
      <c r="AD53" s="2">
        <f t="shared" si="0"/>
        <v>1.230000000000004</v>
      </c>
      <c r="AE53" s="138">
        <f t="shared" si="1"/>
        <v>2.2711864406779636E-2</v>
      </c>
    </row>
    <row r="54" spans="1:31" x14ac:dyDescent="0.25">
      <c r="O54" s="83">
        <v>0.99</v>
      </c>
      <c r="P54" s="83">
        <f t="shared" si="2"/>
        <v>66.923999999999992</v>
      </c>
      <c r="Q54" s="83"/>
      <c r="T54" s="93" t="s">
        <v>110</v>
      </c>
      <c r="U54" s="90">
        <v>328064</v>
      </c>
      <c r="W54" s="133">
        <v>42678</v>
      </c>
      <c r="X54" s="10">
        <v>57.6</v>
      </c>
      <c r="Y54" s="10">
        <v>59.95</v>
      </c>
      <c r="Z54" s="10">
        <v>57.36</v>
      </c>
      <c r="AA54" s="10">
        <v>59.11</v>
      </c>
      <c r="AB54" s="95">
        <v>377600</v>
      </c>
      <c r="AC54" s="10">
        <v>59</v>
      </c>
      <c r="AD54" s="2">
        <f t="shared" si="0"/>
        <v>2.5900000000000034</v>
      </c>
      <c r="AE54" s="138">
        <f t="shared" si="1"/>
        <v>3.128823632232125E-2</v>
      </c>
    </row>
    <row r="55" spans="1:31" x14ac:dyDescent="0.25">
      <c r="O55" s="83">
        <v>0.98</v>
      </c>
      <c r="P55" s="83">
        <f t="shared" si="2"/>
        <v>66.24799999999999</v>
      </c>
      <c r="Q55" s="83"/>
      <c r="T55" s="93" t="s">
        <v>108</v>
      </c>
      <c r="U55" s="88" t="s">
        <v>592</v>
      </c>
      <c r="W55" s="133">
        <v>42677</v>
      </c>
      <c r="X55" s="10">
        <v>57.73</v>
      </c>
      <c r="Y55" s="10">
        <v>57.9</v>
      </c>
      <c r="Z55" s="10">
        <v>57.11</v>
      </c>
      <c r="AA55" s="10">
        <v>57.31</v>
      </c>
      <c r="AB55" s="95">
        <v>372700</v>
      </c>
      <c r="AC55" s="10">
        <v>57.21</v>
      </c>
      <c r="AD55" s="2">
        <f t="shared" si="0"/>
        <v>0.78999999999999915</v>
      </c>
      <c r="AE55" s="138">
        <f t="shared" si="1"/>
        <v>-2.2671782350890402E-3</v>
      </c>
    </row>
    <row r="56" spans="1:31" x14ac:dyDescent="0.25">
      <c r="O56" s="83">
        <v>0.97</v>
      </c>
      <c r="P56" s="83">
        <f t="shared" si="2"/>
        <v>65.571999999999989</v>
      </c>
      <c r="Q56" s="83"/>
      <c r="T56" s="93" t="s">
        <v>111</v>
      </c>
      <c r="U56" s="88">
        <v>23.72</v>
      </c>
      <c r="W56" s="133">
        <v>42676</v>
      </c>
      <c r="X56" s="10">
        <v>57.61</v>
      </c>
      <c r="Y56" s="10">
        <v>58.58</v>
      </c>
      <c r="Z56" s="10">
        <v>57.43</v>
      </c>
      <c r="AA56" s="10">
        <v>57.45</v>
      </c>
      <c r="AB56" s="95">
        <v>227500</v>
      </c>
      <c r="AC56" s="10">
        <v>57.34</v>
      </c>
      <c r="AD56" s="2">
        <f t="shared" si="0"/>
        <v>1.1499999999999986</v>
      </c>
      <c r="AE56" s="138">
        <f t="shared" si="1"/>
        <v>-3.8220986796385636E-3</v>
      </c>
    </row>
    <row r="57" spans="1:31" x14ac:dyDescent="0.25">
      <c r="O57" s="83">
        <v>0.96</v>
      </c>
      <c r="P57" s="83">
        <f t="shared" si="2"/>
        <v>64.895999999999987</v>
      </c>
      <c r="Q57" s="83"/>
      <c r="T57" s="93" t="s">
        <v>112</v>
      </c>
      <c r="U57" s="88">
        <v>2.85</v>
      </c>
      <c r="W57" s="133">
        <v>42675</v>
      </c>
      <c r="X57" s="10">
        <v>59.24</v>
      </c>
      <c r="Y57" s="10">
        <v>59.46</v>
      </c>
      <c r="Z57" s="10">
        <v>57.51</v>
      </c>
      <c r="AA57" s="10">
        <v>57.67</v>
      </c>
      <c r="AB57" s="95">
        <v>222100</v>
      </c>
      <c r="AC57" s="10">
        <v>57.56</v>
      </c>
      <c r="AD57" s="2">
        <f t="shared" si="0"/>
        <v>1.9500000000000028</v>
      </c>
      <c r="AE57" s="138">
        <f t="shared" si="1"/>
        <v>-2.2252420587735577E-2</v>
      </c>
    </row>
    <row r="58" spans="1:31" x14ac:dyDescent="0.25">
      <c r="O58" s="83">
        <v>0.95</v>
      </c>
      <c r="P58" s="83">
        <f t="shared" si="2"/>
        <v>64.219999999999985</v>
      </c>
      <c r="Q58" s="83"/>
      <c r="T58" s="93" t="s">
        <v>109</v>
      </c>
      <c r="U58" s="88" t="s">
        <v>593</v>
      </c>
      <c r="W58" s="133">
        <v>42674</v>
      </c>
      <c r="X58" s="10">
        <v>58.76</v>
      </c>
      <c r="Y58" s="10">
        <v>59.38</v>
      </c>
      <c r="Z58" s="10">
        <v>58.59</v>
      </c>
      <c r="AA58" s="10">
        <v>58.98</v>
      </c>
      <c r="AB58" s="95">
        <v>314900</v>
      </c>
      <c r="AC58" s="10">
        <v>58.87</v>
      </c>
      <c r="AD58" s="2">
        <f t="shared" si="0"/>
        <v>0.78999999999999915</v>
      </c>
      <c r="AE58" s="138">
        <f t="shared" si="1"/>
        <v>7.5303782303610678E-3</v>
      </c>
    </row>
    <row r="59" spans="1:31" x14ac:dyDescent="0.25">
      <c r="O59" s="83">
        <v>0.94</v>
      </c>
      <c r="P59" s="83">
        <f t="shared" si="2"/>
        <v>63.54399999999999</v>
      </c>
      <c r="Q59" s="83"/>
      <c r="W59" s="133">
        <v>42671</v>
      </c>
      <c r="X59" s="10">
        <v>58.48</v>
      </c>
      <c r="Y59" s="10">
        <v>59.57</v>
      </c>
      <c r="Z59" s="10">
        <v>58.47</v>
      </c>
      <c r="AA59" s="10">
        <v>58.54</v>
      </c>
      <c r="AB59" s="95">
        <v>239200</v>
      </c>
      <c r="AC59" s="10">
        <v>58.43</v>
      </c>
      <c r="AD59" s="2">
        <f t="shared" si="0"/>
        <v>1.1000000000000014</v>
      </c>
      <c r="AE59" s="138">
        <f t="shared" si="1"/>
        <v>2.0579660435602332E-3</v>
      </c>
    </row>
    <row r="60" spans="1:31" x14ac:dyDescent="0.25">
      <c r="O60" s="83">
        <v>0.93</v>
      </c>
      <c r="P60" s="83">
        <f t="shared" si="2"/>
        <v>62.867999999999995</v>
      </c>
      <c r="Q60" s="83"/>
      <c r="W60" s="133">
        <v>42670</v>
      </c>
      <c r="X60" s="10">
        <v>59.18</v>
      </c>
      <c r="Y60" s="10">
        <v>59.68</v>
      </c>
      <c r="Z60" s="10">
        <v>58.17</v>
      </c>
      <c r="AA60" s="10">
        <v>58.42</v>
      </c>
      <c r="AB60" s="95">
        <v>214700</v>
      </c>
      <c r="AC60" s="10">
        <v>58.31</v>
      </c>
      <c r="AD60" s="2">
        <f t="shared" si="0"/>
        <v>1.509999999999998</v>
      </c>
      <c r="AE60" s="138">
        <f t="shared" si="1"/>
        <v>-8.3333333333331927E-3</v>
      </c>
    </row>
    <row r="61" spans="1:31" x14ac:dyDescent="0.25">
      <c r="O61" s="83">
        <v>0.92</v>
      </c>
      <c r="P61" s="83">
        <f t="shared" si="2"/>
        <v>62.192</v>
      </c>
      <c r="Q61" s="83"/>
      <c r="W61" s="133">
        <v>42669</v>
      </c>
      <c r="X61" s="10">
        <v>58.21</v>
      </c>
      <c r="Y61" s="10">
        <v>59.48</v>
      </c>
      <c r="Z61" s="10">
        <v>58.21</v>
      </c>
      <c r="AA61" s="10">
        <v>58.91</v>
      </c>
      <c r="AB61" s="95">
        <v>184000</v>
      </c>
      <c r="AC61" s="10">
        <v>58.8</v>
      </c>
      <c r="AD61" s="2">
        <f t="shared" si="0"/>
        <v>1.269999999999996</v>
      </c>
      <c r="AE61" s="138">
        <f t="shared" si="1"/>
        <v>7.8848131642097474E-3</v>
      </c>
    </row>
    <row r="62" spans="1:31" x14ac:dyDescent="0.25">
      <c r="O62" s="83">
        <v>0.91</v>
      </c>
      <c r="P62" s="83">
        <f t="shared" si="2"/>
        <v>61.515999999999998</v>
      </c>
      <c r="Q62" s="83"/>
      <c r="W62" s="133">
        <v>42668</v>
      </c>
      <c r="X62" s="10">
        <v>58.82</v>
      </c>
      <c r="Y62" s="10">
        <v>59.47</v>
      </c>
      <c r="Z62" s="10">
        <v>58.2</v>
      </c>
      <c r="AA62" s="10">
        <v>58.45</v>
      </c>
      <c r="AB62" s="95">
        <v>159000</v>
      </c>
      <c r="AC62" s="10">
        <v>58.34</v>
      </c>
      <c r="AD62" s="2">
        <f t="shared" si="0"/>
        <v>1.269999999999996</v>
      </c>
      <c r="AE62" s="138">
        <f t="shared" si="1"/>
        <v>-7.3166581589245716E-3</v>
      </c>
    </row>
    <row r="63" spans="1:31" x14ac:dyDescent="0.25">
      <c r="O63" s="83">
        <v>0.9</v>
      </c>
      <c r="P63" s="83">
        <f t="shared" si="2"/>
        <v>60.839999999999996</v>
      </c>
      <c r="Q63" s="83"/>
      <c r="W63" s="133">
        <v>42667</v>
      </c>
      <c r="X63" s="10">
        <v>58.87</v>
      </c>
      <c r="Y63" s="10">
        <v>59.51</v>
      </c>
      <c r="Z63" s="10">
        <v>58.58</v>
      </c>
      <c r="AA63" s="10">
        <v>58.88</v>
      </c>
      <c r="AB63" s="95">
        <v>170600</v>
      </c>
      <c r="AC63" s="10">
        <v>58.77</v>
      </c>
      <c r="AD63" s="2">
        <f t="shared" si="0"/>
        <v>0.92999999999999972</v>
      </c>
      <c r="AE63" s="138">
        <f t="shared" si="1"/>
        <v>6.3356164383563396E-3</v>
      </c>
    </row>
    <row r="64" spans="1:31" x14ac:dyDescent="0.25">
      <c r="O64" s="34"/>
      <c r="W64" s="133">
        <v>42664</v>
      </c>
      <c r="X64" s="10">
        <v>58.11</v>
      </c>
      <c r="Y64" s="10">
        <v>58.96</v>
      </c>
      <c r="Z64" s="10">
        <v>57.81</v>
      </c>
      <c r="AA64" s="10">
        <v>58.51</v>
      </c>
      <c r="AB64" s="95">
        <v>190200</v>
      </c>
      <c r="AC64" s="10">
        <v>58.4</v>
      </c>
      <c r="AD64" s="2">
        <f t="shared" si="0"/>
        <v>1.1499999999999986</v>
      </c>
      <c r="AE64" s="138">
        <f t="shared" si="1"/>
        <v>-2.3915271609156186E-3</v>
      </c>
    </row>
    <row r="65" spans="15:31" x14ac:dyDescent="0.25">
      <c r="O65" s="34"/>
      <c r="W65" s="133">
        <v>42663</v>
      </c>
      <c r="X65" s="10">
        <v>58.85</v>
      </c>
      <c r="Y65" s="10">
        <v>59.22</v>
      </c>
      <c r="Z65" s="10">
        <v>58.41</v>
      </c>
      <c r="AA65" s="10">
        <v>58.65</v>
      </c>
      <c r="AB65" s="95">
        <v>187400</v>
      </c>
      <c r="AC65" s="10">
        <v>58.54</v>
      </c>
      <c r="AD65" s="2">
        <f t="shared" si="0"/>
        <v>0.81000000000000227</v>
      </c>
      <c r="AE65" s="138">
        <f t="shared" si="1"/>
        <v>-9.4754653130287858E-3</v>
      </c>
    </row>
    <row r="66" spans="15:31" x14ac:dyDescent="0.25">
      <c r="O66" s="34"/>
      <c r="W66" s="133">
        <v>42662</v>
      </c>
      <c r="X66" s="10">
        <v>59.25</v>
      </c>
      <c r="Y66" s="10">
        <v>59.59</v>
      </c>
      <c r="Z66" s="10">
        <v>59.07</v>
      </c>
      <c r="AA66" s="10">
        <v>59.21</v>
      </c>
      <c r="AB66" s="95">
        <v>308200</v>
      </c>
      <c r="AC66" s="10">
        <v>59.1</v>
      </c>
      <c r="AD66" s="2">
        <f t="shared" si="0"/>
        <v>0.52000000000000313</v>
      </c>
      <c r="AE66" s="138">
        <f t="shared" si="1"/>
        <v>-1.1830319418624224E-3</v>
      </c>
    </row>
    <row r="67" spans="15:31" x14ac:dyDescent="0.25">
      <c r="W67" s="133">
        <v>42661</v>
      </c>
      <c r="X67" s="10">
        <v>60.33</v>
      </c>
      <c r="Y67" s="10">
        <v>60.36</v>
      </c>
      <c r="Z67" s="10">
        <v>59.23</v>
      </c>
      <c r="AA67" s="10">
        <v>59.28</v>
      </c>
      <c r="AB67" s="95">
        <v>173100</v>
      </c>
      <c r="AC67" s="10">
        <v>59.17</v>
      </c>
      <c r="AD67" s="2">
        <f>Y67-Z67</f>
        <v>1.1300000000000026</v>
      </c>
      <c r="AE67" s="138">
        <f>AC67/AC68-1</f>
        <v>-4.3748948342587912E-3</v>
      </c>
    </row>
    <row r="68" spans="15:31" x14ac:dyDescent="0.25">
      <c r="W68" s="133">
        <v>42660</v>
      </c>
      <c r="X68" s="10">
        <v>59.28</v>
      </c>
      <c r="Y68" s="10">
        <v>59.93</v>
      </c>
      <c r="Z68" s="10">
        <v>59.28</v>
      </c>
      <c r="AA68" s="10">
        <v>59.54</v>
      </c>
      <c r="AB68" s="95">
        <v>188900</v>
      </c>
      <c r="AC68" s="10">
        <v>59.43</v>
      </c>
      <c r="AD68" s="2">
        <f>Y68-Z68</f>
        <v>0.64999999999999858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42755</v>
      </c>
      <c r="Y2" s="10">
        <v>62</v>
      </c>
      <c r="Z2" s="10">
        <v>62.72</v>
      </c>
      <c r="AA2" s="10">
        <v>61.92</v>
      </c>
      <c r="AB2" s="10">
        <v>62.42</v>
      </c>
      <c r="AC2" s="95">
        <v>3055400</v>
      </c>
      <c r="AD2" s="10">
        <v>62.42</v>
      </c>
      <c r="AE2" s="2">
        <f>Z2-AA2</f>
        <v>0.79999999999999716</v>
      </c>
      <c r="AF2" s="138">
        <f>AD2/AD3-1</f>
        <v>1.2489862124898776E-2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42754</v>
      </c>
      <c r="Y3" s="10">
        <v>62.11</v>
      </c>
      <c r="Z3" s="10">
        <v>62.13</v>
      </c>
      <c r="AA3" s="10">
        <v>61.62</v>
      </c>
      <c r="AB3" s="10">
        <v>61.65</v>
      </c>
      <c r="AC3" s="95">
        <v>2421500</v>
      </c>
      <c r="AD3" s="10">
        <v>61.65</v>
      </c>
      <c r="AE3" s="2">
        <f t="shared" ref="AE3:AE66" si="0">Z3-AA3</f>
        <v>0.51000000000000512</v>
      </c>
      <c r="AF3" s="138">
        <f t="shared" ref="AF3:AF66" si="1">AD3/AD4-1</f>
        <v>-6.9265463917526082E-3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62.42</v>
      </c>
      <c r="R4" s="505">
        <v>1.2500000000000001E-2</v>
      </c>
      <c r="X4" s="133">
        <v>42753</v>
      </c>
      <c r="Y4" s="10">
        <v>61.88</v>
      </c>
      <c r="Z4" s="10">
        <v>62.28</v>
      </c>
      <c r="AA4" s="10">
        <v>61.82</v>
      </c>
      <c r="AB4" s="10">
        <v>62.08</v>
      </c>
      <c r="AC4" s="95">
        <v>2116400</v>
      </c>
      <c r="AD4" s="10">
        <v>62.08</v>
      </c>
      <c r="AE4" s="2">
        <f t="shared" si="0"/>
        <v>0.46000000000000085</v>
      </c>
      <c r="AF4" s="138">
        <f t="shared" si="1"/>
        <v>1.6134236850597894E-3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3121</v>
      </c>
      <c r="X5" s="133">
        <v>42752</v>
      </c>
      <c r="Y5" s="10">
        <v>60.96</v>
      </c>
      <c r="Z5" s="10">
        <v>62.06</v>
      </c>
      <c r="AA5" s="10">
        <v>60.96</v>
      </c>
      <c r="AB5" s="10">
        <v>61.98</v>
      </c>
      <c r="AC5" s="95">
        <v>2775100</v>
      </c>
      <c r="AD5" s="10">
        <v>61.98</v>
      </c>
      <c r="AE5" s="2">
        <f t="shared" si="0"/>
        <v>1.1000000000000014</v>
      </c>
      <c r="AF5" s="138">
        <f t="shared" si="1"/>
        <v>1.4734774066797574E-2</v>
      </c>
    </row>
    <row r="6" spans="1:32" x14ac:dyDescent="0.25">
      <c r="O6" s="11" t="s">
        <v>64</v>
      </c>
      <c r="Q6" s="2">
        <f>Q3*Q2</f>
        <v>3186.5</v>
      </c>
      <c r="X6" s="133">
        <v>42748</v>
      </c>
      <c r="Y6" s="10">
        <v>61.21</v>
      </c>
      <c r="Z6" s="10">
        <v>61.47</v>
      </c>
      <c r="AA6" s="10">
        <v>60.93</v>
      </c>
      <c r="AB6" s="10">
        <v>61.08</v>
      </c>
      <c r="AC6" s="95">
        <v>1853800</v>
      </c>
      <c r="AD6" s="10">
        <v>61.08</v>
      </c>
      <c r="AE6" s="2">
        <f t="shared" si="0"/>
        <v>0.53999999999999915</v>
      </c>
      <c r="AF6" s="138">
        <f t="shared" si="1"/>
        <v>-3.1010282356782604E-3</v>
      </c>
    </row>
    <row r="7" spans="1:32" x14ac:dyDescent="0.25">
      <c r="O7" s="11" t="s">
        <v>182</v>
      </c>
      <c r="Q7" s="2">
        <f>Q10+Q8</f>
        <v>-15.550000000000182</v>
      </c>
      <c r="R7">
        <v>50</v>
      </c>
      <c r="X7" s="133">
        <v>42747</v>
      </c>
      <c r="Y7" s="10">
        <v>60.92</v>
      </c>
      <c r="Z7" s="10">
        <v>61.88</v>
      </c>
      <c r="AA7" s="10">
        <v>60.86</v>
      </c>
      <c r="AB7" s="10">
        <v>61.27</v>
      </c>
      <c r="AC7" s="95">
        <v>2961800</v>
      </c>
      <c r="AD7" s="10">
        <v>61.27</v>
      </c>
      <c r="AE7" s="2">
        <f t="shared" si="0"/>
        <v>1.0200000000000031</v>
      </c>
      <c r="AF7" s="138">
        <f t="shared" si="1"/>
        <v>4.7556575926535061E-3</v>
      </c>
    </row>
    <row r="8" spans="1:32" x14ac:dyDescent="0.25">
      <c r="O8" s="11" t="s">
        <v>185</v>
      </c>
      <c r="P8" s="34"/>
      <c r="Q8" s="2">
        <f>K18+M18-F18+Q2*Q4</f>
        <v>-65.5</v>
      </c>
      <c r="X8" s="133">
        <v>42746</v>
      </c>
      <c r="Y8" s="10">
        <v>60.45</v>
      </c>
      <c r="Z8" s="10">
        <v>61.11</v>
      </c>
      <c r="AA8" s="10">
        <v>60.31</v>
      </c>
      <c r="AB8" s="10">
        <v>60.98</v>
      </c>
      <c r="AC8" s="95">
        <v>3374000</v>
      </c>
      <c r="AD8" s="10">
        <v>60.98</v>
      </c>
      <c r="AE8" s="2">
        <f t="shared" si="0"/>
        <v>0.79999999999999716</v>
      </c>
      <c r="AF8" s="138">
        <f t="shared" si="1"/>
        <v>8.7675765095118763E-3</v>
      </c>
    </row>
    <row r="9" spans="1:32" x14ac:dyDescent="0.25">
      <c r="O9" s="11" t="s">
        <v>215</v>
      </c>
      <c r="Q9" s="138">
        <f>IF(Q2=0, 0, Q8/Q6)</f>
        <v>-2.0555468382237565E-2</v>
      </c>
      <c r="X9" s="133">
        <v>42745</v>
      </c>
      <c r="Y9" s="10">
        <v>60.6</v>
      </c>
      <c r="Z9" s="10">
        <v>60.73</v>
      </c>
      <c r="AA9" s="10">
        <v>60.27</v>
      </c>
      <c r="AB9" s="10">
        <v>60.45</v>
      </c>
      <c r="AC9" s="95">
        <v>3244300</v>
      </c>
      <c r="AD9" s="10">
        <v>60.45</v>
      </c>
      <c r="AE9" s="2">
        <f t="shared" si="0"/>
        <v>0.45999999999999375</v>
      </c>
      <c r="AF9" s="138">
        <f t="shared" si="1"/>
        <v>-1.8163804491413416E-3</v>
      </c>
    </row>
    <row r="10" spans="1:32" x14ac:dyDescent="0.25">
      <c r="O10" s="11" t="s">
        <v>214</v>
      </c>
      <c r="P10" s="34"/>
      <c r="Q10" s="2">
        <f>M40</f>
        <v>49.949999999999818</v>
      </c>
      <c r="X10" s="133">
        <v>42744</v>
      </c>
      <c r="Y10" s="10">
        <v>61.36</v>
      </c>
      <c r="Z10" s="10">
        <v>61.56</v>
      </c>
      <c r="AA10" s="10">
        <v>60.52</v>
      </c>
      <c r="AB10" s="10">
        <v>60.56</v>
      </c>
      <c r="AC10" s="95">
        <v>3306300</v>
      </c>
      <c r="AD10" s="10">
        <v>60.56</v>
      </c>
      <c r="AE10" s="2">
        <f t="shared" si="0"/>
        <v>1.0399999999999991</v>
      </c>
      <c r="AF10" s="138">
        <f t="shared" si="1"/>
        <v>-1.4803969415975171E-2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42741</v>
      </c>
      <c r="Y11" s="10">
        <v>61.72</v>
      </c>
      <c r="Z11" s="10">
        <v>61.82</v>
      </c>
      <c r="AA11" s="10">
        <v>61.36</v>
      </c>
      <c r="AB11" s="10">
        <v>61.47</v>
      </c>
      <c r="AC11" s="95">
        <v>2282000</v>
      </c>
      <c r="AD11" s="10">
        <v>61.47</v>
      </c>
      <c r="AE11" s="2">
        <f t="shared" si="0"/>
        <v>0.46000000000000085</v>
      </c>
      <c r="AF11" s="138" t="e">
        <f t="shared" si="1"/>
        <v>#DIV/0!</v>
      </c>
    </row>
    <row r="12" spans="1:32" x14ac:dyDescent="0.25">
      <c r="X12" s="133">
        <v>42741</v>
      </c>
      <c r="Y12" s="10" t="s">
        <v>241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42740</v>
      </c>
      <c r="Y13" s="10">
        <v>62</v>
      </c>
      <c r="Z13" s="10">
        <v>62.47</v>
      </c>
      <c r="AA13" s="10">
        <v>61.71</v>
      </c>
      <c r="AB13" s="10">
        <v>62.25</v>
      </c>
      <c r="AC13" s="95">
        <v>2558500</v>
      </c>
      <c r="AD13" s="10">
        <v>61.77</v>
      </c>
      <c r="AE13" s="2">
        <f t="shared" si="0"/>
        <v>0.75999999999999801</v>
      </c>
      <c r="AF13" s="138">
        <f t="shared" si="1"/>
        <v>2.9225523623965799E-3</v>
      </c>
    </row>
    <row r="14" spans="1:32" x14ac:dyDescent="0.25">
      <c r="X14" s="133">
        <v>42739</v>
      </c>
      <c r="Y14" s="10">
        <v>62.05</v>
      </c>
      <c r="Z14" s="10">
        <v>62.56</v>
      </c>
      <c r="AA14" s="10">
        <v>61.95</v>
      </c>
      <c r="AB14" s="10">
        <v>62.07</v>
      </c>
      <c r="AC14" s="95">
        <v>2137200</v>
      </c>
      <c r="AD14" s="10">
        <v>61.59</v>
      </c>
      <c r="AE14" s="2">
        <f t="shared" si="0"/>
        <v>0.60999999999999943</v>
      </c>
      <c r="AF14" s="138">
        <f t="shared" si="1"/>
        <v>-3.246226261970353E-4</v>
      </c>
    </row>
    <row r="15" spans="1:32" x14ac:dyDescent="0.25">
      <c r="X15" s="133">
        <v>42738</v>
      </c>
      <c r="Y15" s="10">
        <v>62.09</v>
      </c>
      <c r="Z15" s="10">
        <v>62.24</v>
      </c>
      <c r="AA15" s="10">
        <v>61.36</v>
      </c>
      <c r="AB15" s="10">
        <v>62.09</v>
      </c>
      <c r="AC15" s="95">
        <v>2327900</v>
      </c>
      <c r="AD15" s="10">
        <v>61.61</v>
      </c>
      <c r="AE15" s="2">
        <f t="shared" si="0"/>
        <v>0.88000000000000256</v>
      </c>
      <c r="AF15" s="138">
        <f t="shared" si="1"/>
        <v>5.2210801109480176E-3</v>
      </c>
    </row>
    <row r="16" spans="1:32" x14ac:dyDescent="0.25">
      <c r="X16" s="133">
        <v>42734</v>
      </c>
      <c r="Y16" s="10">
        <v>62.37</v>
      </c>
      <c r="Z16" s="10">
        <v>62.47</v>
      </c>
      <c r="AA16" s="10">
        <v>61.58</v>
      </c>
      <c r="AB16" s="10">
        <v>61.77</v>
      </c>
      <c r="AC16" s="95">
        <v>1937700</v>
      </c>
      <c r="AD16" s="10">
        <v>61.29</v>
      </c>
      <c r="AE16" s="2">
        <f t="shared" si="0"/>
        <v>0.89000000000000057</v>
      </c>
      <c r="AF16" s="138">
        <f t="shared" si="1"/>
        <v>-9.5345830639949058E-3</v>
      </c>
    </row>
    <row r="17" spans="1:32" x14ac:dyDescent="0.25">
      <c r="X17" s="133">
        <v>42733</v>
      </c>
      <c r="Y17" s="10">
        <v>61.71</v>
      </c>
      <c r="Z17" s="10">
        <v>62.42</v>
      </c>
      <c r="AA17" s="10">
        <v>61.67</v>
      </c>
      <c r="AB17" s="10">
        <v>62.36</v>
      </c>
      <c r="AC17" s="95">
        <v>1483300</v>
      </c>
      <c r="AD17" s="10">
        <v>61.88</v>
      </c>
      <c r="AE17" s="2">
        <f t="shared" si="0"/>
        <v>0.75</v>
      </c>
      <c r="AF17" s="138">
        <f t="shared" si="1"/>
        <v>7.6534766324702908E-3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42732</v>
      </c>
      <c r="Y18" s="10">
        <v>62.11</v>
      </c>
      <c r="Z18" s="10">
        <v>62.5</v>
      </c>
      <c r="AA18" s="10">
        <v>61.67</v>
      </c>
      <c r="AB18" s="10">
        <v>61.89</v>
      </c>
      <c r="AC18" s="95">
        <v>1701700</v>
      </c>
      <c r="AD18" s="10">
        <v>61.41</v>
      </c>
      <c r="AE18" s="2">
        <f t="shared" si="0"/>
        <v>0.82999999999999829</v>
      </c>
      <c r="AF18" s="138">
        <f t="shared" si="1"/>
        <v>-5.0226830848996151E-3</v>
      </c>
    </row>
    <row r="19" spans="1:32" x14ac:dyDescent="0.25">
      <c r="X19" s="133">
        <v>42731</v>
      </c>
      <c r="Y19" s="10">
        <v>62.32</v>
      </c>
      <c r="Z19" s="10">
        <v>62.43</v>
      </c>
      <c r="AA19" s="10">
        <v>61.97</v>
      </c>
      <c r="AB19" s="10">
        <v>62.2</v>
      </c>
      <c r="AC19" s="95">
        <v>1599700</v>
      </c>
      <c r="AD19" s="10">
        <v>61.72</v>
      </c>
      <c r="AE19" s="2">
        <f t="shared" si="0"/>
        <v>0.46000000000000085</v>
      </c>
      <c r="AF19" s="138">
        <f t="shared" si="1"/>
        <v>6.4850843060959562E-4</v>
      </c>
    </row>
    <row r="20" spans="1:32" x14ac:dyDescent="0.25">
      <c r="X20" s="133">
        <v>42727</v>
      </c>
      <c r="Y20" s="10">
        <v>62.46</v>
      </c>
      <c r="Z20" s="10">
        <v>62.47</v>
      </c>
      <c r="AA20" s="10">
        <v>61.87</v>
      </c>
      <c r="AB20" s="10">
        <v>62.16</v>
      </c>
      <c r="AC20" s="95">
        <v>1460100</v>
      </c>
      <c r="AD20" s="10">
        <v>61.68</v>
      </c>
      <c r="AE20" s="2">
        <f t="shared" si="0"/>
        <v>0.60000000000000142</v>
      </c>
      <c r="AF20" s="138">
        <f t="shared" si="1"/>
        <v>-4.8402710551790351E-3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42726</v>
      </c>
      <c r="Y21" s="10">
        <v>62.28</v>
      </c>
      <c r="Z21" s="10">
        <v>62.52</v>
      </c>
      <c r="AA21" s="10">
        <v>62.02</v>
      </c>
      <c r="AB21" s="10">
        <v>62.46</v>
      </c>
      <c r="AC21" s="95">
        <v>2645300</v>
      </c>
      <c r="AD21" s="10">
        <v>61.98</v>
      </c>
      <c r="AE21" s="2">
        <f t="shared" si="0"/>
        <v>0.5</v>
      </c>
      <c r="AF21" s="138">
        <f t="shared" si="1"/>
        <v>1.1306735583911376E-3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42725</v>
      </c>
      <c r="Y22" s="10">
        <v>61.42</v>
      </c>
      <c r="Z22" s="10">
        <v>62.95</v>
      </c>
      <c r="AA22" s="10">
        <v>61.4</v>
      </c>
      <c r="AB22" s="10">
        <v>62.39</v>
      </c>
      <c r="AC22" s="95">
        <v>4290200</v>
      </c>
      <c r="AD22" s="10">
        <v>61.91</v>
      </c>
      <c r="AE22" s="2">
        <f t="shared" si="0"/>
        <v>1.5500000000000043</v>
      </c>
      <c r="AF22" s="138">
        <f t="shared" si="1"/>
        <v>1.5250901935060623E-2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42724</v>
      </c>
      <c r="Y23" s="10">
        <v>61.06</v>
      </c>
      <c r="Z23" s="10">
        <v>62.19</v>
      </c>
      <c r="AA23" s="10">
        <v>60.52</v>
      </c>
      <c r="AB23" s="10">
        <v>61.45</v>
      </c>
      <c r="AC23" s="95">
        <v>6168100</v>
      </c>
      <c r="AD23" s="10">
        <v>60.98</v>
      </c>
      <c r="AE23" s="2">
        <f t="shared" si="0"/>
        <v>1.6699999999999946</v>
      </c>
      <c r="AF23" s="138">
        <f t="shared" si="1"/>
        <v>-2.5411539076234724E-2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42723</v>
      </c>
      <c r="Y24" s="10">
        <v>63.74</v>
      </c>
      <c r="Z24" s="10">
        <v>63.74</v>
      </c>
      <c r="AA24" s="10">
        <v>62.91</v>
      </c>
      <c r="AB24" s="10">
        <v>63.06</v>
      </c>
      <c r="AC24" s="95">
        <v>2913300</v>
      </c>
      <c r="AD24" s="10">
        <v>62.57</v>
      </c>
      <c r="AE24" s="2">
        <f t="shared" si="0"/>
        <v>0.8300000000000054</v>
      </c>
      <c r="AF24" s="138">
        <f t="shared" si="1"/>
        <v>-6.9830185684811585E-3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42720</v>
      </c>
      <c r="Y25" s="10">
        <v>62.88</v>
      </c>
      <c r="Z25" s="10">
        <v>63.67</v>
      </c>
      <c r="AA25" s="10">
        <v>62.88</v>
      </c>
      <c r="AB25" s="10">
        <v>63.5</v>
      </c>
      <c r="AC25" s="95">
        <v>3883900</v>
      </c>
      <c r="AD25" s="10">
        <v>63.01</v>
      </c>
      <c r="AE25" s="2">
        <f t="shared" si="0"/>
        <v>0.78999999999999915</v>
      </c>
      <c r="AF25" s="138">
        <f t="shared" si="1"/>
        <v>1.0747513634905337E-2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42719</v>
      </c>
      <c r="Y26" s="10">
        <v>62.07</v>
      </c>
      <c r="Z26" s="10">
        <v>62.97</v>
      </c>
      <c r="AA26" s="10">
        <v>61.92</v>
      </c>
      <c r="AB26" s="10">
        <v>62.82</v>
      </c>
      <c r="AC26" s="95">
        <v>2963700</v>
      </c>
      <c r="AD26" s="10">
        <v>62.34</v>
      </c>
      <c r="AE26" s="2">
        <f t="shared" si="0"/>
        <v>1.0499999999999972</v>
      </c>
      <c r="AF26" s="138">
        <f t="shared" si="1"/>
        <v>-8.0141048244908308E-4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42718</v>
      </c>
      <c r="Y27" s="10">
        <v>63.9</v>
      </c>
      <c r="Z27" s="10">
        <v>64.06</v>
      </c>
      <c r="AA27" s="10">
        <v>62.67</v>
      </c>
      <c r="AB27" s="10">
        <v>62.87</v>
      </c>
      <c r="AC27" s="95">
        <v>2594100</v>
      </c>
      <c r="AD27" s="10">
        <v>62.39</v>
      </c>
      <c r="AE27" s="2">
        <f t="shared" si="0"/>
        <v>1.3900000000000006</v>
      </c>
      <c r="AF27" s="138">
        <f t="shared" si="1"/>
        <v>-1.3596837944664042E-2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42717</v>
      </c>
      <c r="Y28" s="10">
        <v>63.85</v>
      </c>
      <c r="Z28" s="10">
        <v>64.03</v>
      </c>
      <c r="AA28" s="10">
        <v>63.47</v>
      </c>
      <c r="AB28" s="10">
        <v>63.74</v>
      </c>
      <c r="AC28" s="95">
        <v>3113000</v>
      </c>
      <c r="AD28" s="10">
        <v>63.25</v>
      </c>
      <c r="AE28" s="2">
        <f t="shared" si="0"/>
        <v>0.56000000000000227</v>
      </c>
      <c r="AF28" s="138">
        <f t="shared" si="1"/>
        <v>-2.0511202272009976E-3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42716</v>
      </c>
      <c r="Y29" s="10">
        <v>63.05</v>
      </c>
      <c r="Z29" s="10">
        <v>63.92</v>
      </c>
      <c r="AA29" s="10">
        <v>63.05</v>
      </c>
      <c r="AB29" s="10">
        <v>63.87</v>
      </c>
      <c r="AC29" s="95">
        <v>1802600</v>
      </c>
      <c r="AD29" s="10">
        <v>63.38</v>
      </c>
      <c r="AE29" s="2">
        <f t="shared" si="0"/>
        <v>0.87000000000000455</v>
      </c>
      <c r="AF29" s="138">
        <f t="shared" si="1"/>
        <v>1.0684101419231373E-2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42713</v>
      </c>
      <c r="Y30" s="10">
        <v>62.56</v>
      </c>
      <c r="Z30" s="10">
        <v>63.22</v>
      </c>
      <c r="AA30" s="10">
        <v>62.36</v>
      </c>
      <c r="AB30" s="10">
        <v>63.2</v>
      </c>
      <c r="AC30" s="95">
        <v>1938500</v>
      </c>
      <c r="AD30" s="10">
        <v>62.71</v>
      </c>
      <c r="AE30" s="2">
        <f t="shared" si="0"/>
        <v>0.85999999999999943</v>
      </c>
      <c r="AF30" s="138">
        <f t="shared" si="1"/>
        <v>1.1451612903225827E-2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42712</v>
      </c>
      <c r="Y31" s="10">
        <v>62.7</v>
      </c>
      <c r="Z31" s="10">
        <v>62.77</v>
      </c>
      <c r="AA31" s="10">
        <v>62.13</v>
      </c>
      <c r="AB31" s="10">
        <v>62.48</v>
      </c>
      <c r="AC31" s="95">
        <v>2646200</v>
      </c>
      <c r="AD31" s="10">
        <v>62</v>
      </c>
      <c r="AE31" s="2">
        <f t="shared" si="0"/>
        <v>0.64000000000000057</v>
      </c>
      <c r="AF31" s="138">
        <f t="shared" si="1"/>
        <v>-8.0000000000000071E-3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42711</v>
      </c>
      <c r="Y32" s="10">
        <v>61.24</v>
      </c>
      <c r="Z32" s="10">
        <v>63.27</v>
      </c>
      <c r="AA32" s="10">
        <v>61.24</v>
      </c>
      <c r="AB32" s="10">
        <v>62.99</v>
      </c>
      <c r="AC32" s="95">
        <v>3564600</v>
      </c>
      <c r="AD32" s="10">
        <v>62.5</v>
      </c>
      <c r="AE32" s="2">
        <f t="shared" si="0"/>
        <v>2.0300000000000011</v>
      </c>
      <c r="AF32" s="138">
        <f t="shared" si="1"/>
        <v>3.2034346103038347E-2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42710</v>
      </c>
      <c r="Y33" s="10">
        <v>61.18</v>
      </c>
      <c r="Z33" s="10">
        <v>61.38</v>
      </c>
      <c r="AA33" s="10">
        <v>60.8</v>
      </c>
      <c r="AB33" s="10">
        <v>61.03</v>
      </c>
      <c r="AC33" s="95">
        <v>1821400</v>
      </c>
      <c r="AD33" s="10">
        <v>60.56</v>
      </c>
      <c r="AE33" s="2">
        <f t="shared" si="0"/>
        <v>0.5800000000000054</v>
      </c>
      <c r="AF33" s="138">
        <f t="shared" si="1"/>
        <v>-1.6485328058027937E-3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42709</v>
      </c>
      <c r="Y34" s="10">
        <v>61</v>
      </c>
      <c r="Z34" s="10">
        <v>61.16</v>
      </c>
      <c r="AA34" s="10">
        <v>60.83</v>
      </c>
      <c r="AB34" s="10">
        <v>61.13</v>
      </c>
      <c r="AC34" s="95">
        <v>2133000</v>
      </c>
      <c r="AD34" s="10">
        <v>60.66</v>
      </c>
      <c r="AE34" s="2">
        <f t="shared" si="0"/>
        <v>0.32999999999999829</v>
      </c>
      <c r="AF34" s="138">
        <f t="shared" si="1"/>
        <v>3.1420539110302848E-3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42706</v>
      </c>
      <c r="Y35" s="10">
        <v>60.79</v>
      </c>
      <c r="Z35" s="10">
        <v>61.19</v>
      </c>
      <c r="AA35" s="10">
        <v>60.58</v>
      </c>
      <c r="AB35" s="10">
        <v>60.94</v>
      </c>
      <c r="AC35" s="95">
        <v>2349200</v>
      </c>
      <c r="AD35" s="10">
        <v>60.47</v>
      </c>
      <c r="AE35" s="2">
        <f t="shared" si="0"/>
        <v>0.60999999999999943</v>
      </c>
      <c r="AF35" s="138">
        <f t="shared" si="1"/>
        <v>5.8216899534264677E-3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42705</v>
      </c>
      <c r="Y36" s="10">
        <v>60.92</v>
      </c>
      <c r="Z36" s="10">
        <v>60.92</v>
      </c>
      <c r="AA36" s="10">
        <v>60.37</v>
      </c>
      <c r="AB36" s="10">
        <v>60.59</v>
      </c>
      <c r="AC36" s="95">
        <v>3215100</v>
      </c>
      <c r="AD36" s="10">
        <v>60.12</v>
      </c>
      <c r="AE36" s="2">
        <f t="shared" si="0"/>
        <v>0.55000000000000426</v>
      </c>
      <c r="AF36" s="138">
        <f t="shared" si="1"/>
        <v>-5.7879940466347701E-3</v>
      </c>
    </row>
    <row r="37" spans="1:32" x14ac:dyDescent="0.25">
      <c r="X37" s="133">
        <v>42704</v>
      </c>
      <c r="Y37" s="10">
        <v>62.33</v>
      </c>
      <c r="Z37" s="10">
        <v>62.4</v>
      </c>
      <c r="AA37" s="10">
        <v>60.91</v>
      </c>
      <c r="AB37" s="10">
        <v>60.94</v>
      </c>
      <c r="AC37" s="95">
        <v>5940000</v>
      </c>
      <c r="AD37" s="10">
        <v>60.47</v>
      </c>
      <c r="AE37" s="2">
        <f t="shared" si="0"/>
        <v>1.490000000000002</v>
      </c>
      <c r="AF37" s="138">
        <f t="shared" si="1"/>
        <v>-2.7500804117079447E-2</v>
      </c>
    </row>
    <row r="38" spans="1:32" x14ac:dyDescent="0.25">
      <c r="X38" s="133">
        <v>42703</v>
      </c>
      <c r="Y38" s="10">
        <v>62.25</v>
      </c>
      <c r="Z38" s="10">
        <v>62.81</v>
      </c>
      <c r="AA38" s="10">
        <v>61.79</v>
      </c>
      <c r="AB38" s="10">
        <v>62.66</v>
      </c>
      <c r="AC38" s="95">
        <v>3143600</v>
      </c>
      <c r="AD38" s="10">
        <v>62.18</v>
      </c>
      <c r="AE38" s="2">
        <f t="shared" si="0"/>
        <v>1.0200000000000031</v>
      </c>
      <c r="AF38" s="138">
        <f t="shared" si="1"/>
        <v>9.4155844155843216E-3</v>
      </c>
    </row>
    <row r="39" spans="1:32" x14ac:dyDescent="0.25">
      <c r="X39" s="133">
        <v>42702</v>
      </c>
      <c r="Y39" s="10">
        <v>62.12</v>
      </c>
      <c r="Z39" s="10">
        <v>62.38</v>
      </c>
      <c r="AA39" s="10">
        <v>61.88</v>
      </c>
      <c r="AB39" s="10">
        <v>62.08</v>
      </c>
      <c r="AC39" s="95">
        <v>2206300</v>
      </c>
      <c r="AD39" s="10">
        <v>61.6</v>
      </c>
      <c r="AE39" s="2">
        <f t="shared" si="0"/>
        <v>0.5</v>
      </c>
      <c r="AF39" s="138">
        <f t="shared" si="1"/>
        <v>-3.558718861209953E-3</v>
      </c>
    </row>
    <row r="40" spans="1:32" x14ac:dyDescent="0.25">
      <c r="L40" t="s">
        <v>214</v>
      </c>
      <c r="M40" s="2">
        <f>M49+K49-F49</f>
        <v>49.949999999999818</v>
      </c>
      <c r="X40" s="133">
        <v>42699</v>
      </c>
      <c r="Y40" s="10">
        <v>61.74</v>
      </c>
      <c r="Z40" s="10">
        <v>62.3</v>
      </c>
      <c r="AA40" s="10">
        <v>61.74</v>
      </c>
      <c r="AB40" s="10">
        <v>62.3</v>
      </c>
      <c r="AC40" s="95">
        <v>1069500</v>
      </c>
      <c r="AD40" s="10">
        <v>61.82</v>
      </c>
      <c r="AE40" s="2">
        <f t="shared" si="0"/>
        <v>0.55999999999999517</v>
      </c>
      <c r="AF40" s="138">
        <f t="shared" si="1"/>
        <v>1.3276512047205369E-2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2" t="s">
        <v>78</v>
      </c>
      <c r="P41" s="632"/>
      <c r="X41" s="133">
        <v>42697</v>
      </c>
      <c r="Y41" s="10">
        <v>62.42</v>
      </c>
      <c r="Z41" s="10">
        <v>62.75</v>
      </c>
      <c r="AA41" s="10">
        <v>61.39</v>
      </c>
      <c r="AB41" s="10">
        <v>61.48</v>
      </c>
      <c r="AC41" s="95">
        <v>2557400</v>
      </c>
      <c r="AD41" s="10">
        <v>61.01</v>
      </c>
      <c r="AE41" s="2">
        <f t="shared" si="0"/>
        <v>1.3599999999999994</v>
      </c>
      <c r="AF41" s="138">
        <f t="shared" si="1"/>
        <v>-1.9131832797427695E-2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68.662000000000006</v>
      </c>
      <c r="Q42" s="2"/>
      <c r="T42" s="91"/>
      <c r="X42" s="133">
        <v>42696</v>
      </c>
      <c r="Y42" s="10">
        <v>61.93</v>
      </c>
      <c r="Z42" s="10">
        <v>62.8</v>
      </c>
      <c r="AA42" s="10">
        <v>61.92</v>
      </c>
      <c r="AB42" s="10">
        <v>62.68</v>
      </c>
      <c r="AC42" s="95">
        <v>2739500</v>
      </c>
      <c r="AD42" s="10">
        <v>62.2</v>
      </c>
      <c r="AE42" s="2">
        <f t="shared" si="0"/>
        <v>0.87999999999999545</v>
      </c>
      <c r="AF42" s="138">
        <f t="shared" si="1"/>
        <v>1.7170891251022224E-2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68.037800000000004</v>
      </c>
      <c r="Q43" s="2"/>
      <c r="T43" s="128" t="s">
        <v>98</v>
      </c>
      <c r="U43" s="129">
        <v>61.65</v>
      </c>
      <c r="X43" s="133">
        <v>42695</v>
      </c>
      <c r="Y43" s="10">
        <v>61.26</v>
      </c>
      <c r="Z43" s="10">
        <v>61.78</v>
      </c>
      <c r="AA43" s="10">
        <v>60.95</v>
      </c>
      <c r="AB43" s="10">
        <v>61.63</v>
      </c>
      <c r="AC43" s="95">
        <v>2392800</v>
      </c>
      <c r="AD43" s="10">
        <v>61.15</v>
      </c>
      <c r="AE43" s="2">
        <f t="shared" si="0"/>
        <v>0.82999999999999829</v>
      </c>
      <c r="AF43" s="138">
        <f t="shared" si="1"/>
        <v>5.9220266491200046E-3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67.413600000000002</v>
      </c>
      <c r="Q44" s="2"/>
      <c r="T44" s="93" t="s">
        <v>99</v>
      </c>
      <c r="U44" s="130">
        <v>62</v>
      </c>
      <c r="X44" s="133">
        <v>42692</v>
      </c>
      <c r="Y44" s="10">
        <v>61.36</v>
      </c>
      <c r="Z44" s="10">
        <v>61.63</v>
      </c>
      <c r="AA44" s="10">
        <v>60.98</v>
      </c>
      <c r="AB44" s="10">
        <v>61.26</v>
      </c>
      <c r="AC44" s="95">
        <v>2227900</v>
      </c>
      <c r="AD44" s="10">
        <v>60.79</v>
      </c>
      <c r="AE44" s="2">
        <f t="shared" si="0"/>
        <v>0.65000000000000568</v>
      </c>
      <c r="AF44" s="138">
        <f t="shared" si="1"/>
        <v>-1.6423057973394828E-3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66.789400000000001</v>
      </c>
      <c r="Q45" s="2"/>
      <c r="T45" s="93" t="s">
        <v>100</v>
      </c>
      <c r="U45" s="130" t="s">
        <v>129</v>
      </c>
      <c r="X45" s="133">
        <v>42691</v>
      </c>
      <c r="Y45" s="10">
        <v>61.32</v>
      </c>
      <c r="Z45" s="10">
        <v>61.69</v>
      </c>
      <c r="AA45" s="10">
        <v>60.97</v>
      </c>
      <c r="AB45" s="10">
        <v>61.36</v>
      </c>
      <c r="AC45" s="95">
        <v>2902900</v>
      </c>
      <c r="AD45" s="10">
        <v>60.89</v>
      </c>
      <c r="AE45" s="2">
        <f t="shared" si="0"/>
        <v>0.71999999999999886</v>
      </c>
      <c r="AF45" s="138">
        <f t="shared" si="1"/>
        <v>1.6450074025333716E-3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66.165199999999999</v>
      </c>
      <c r="Q46" s="2"/>
      <c r="T46" s="93" t="s">
        <v>101</v>
      </c>
      <c r="U46" s="130" t="s">
        <v>129</v>
      </c>
      <c r="X46" s="133">
        <v>42690</v>
      </c>
      <c r="Y46" s="10">
        <v>61.33</v>
      </c>
      <c r="Z46" s="10">
        <v>61.72</v>
      </c>
      <c r="AA46" s="10">
        <v>61.06</v>
      </c>
      <c r="AB46" s="10">
        <v>61.26</v>
      </c>
      <c r="AC46" s="95">
        <v>3284300</v>
      </c>
      <c r="AD46" s="10">
        <v>60.79</v>
      </c>
      <c r="AE46" s="2">
        <f t="shared" si="0"/>
        <v>0.65999999999999659</v>
      </c>
      <c r="AF46" s="138">
        <f t="shared" si="1"/>
        <v>-6.5757027782342714E-4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65.541000000000011</v>
      </c>
      <c r="Q47" s="2"/>
      <c r="T47" s="93" t="s">
        <v>102</v>
      </c>
      <c r="U47" s="130">
        <v>64</v>
      </c>
      <c r="X47" s="133">
        <v>42689</v>
      </c>
      <c r="Y47" s="10">
        <v>61.47</v>
      </c>
      <c r="Z47" s="10">
        <v>61.62</v>
      </c>
      <c r="AA47" s="10">
        <v>61</v>
      </c>
      <c r="AB47" s="10">
        <v>61.3</v>
      </c>
      <c r="AC47" s="95">
        <v>3852400</v>
      </c>
      <c r="AD47" s="10">
        <v>60.83</v>
      </c>
      <c r="AE47" s="2">
        <f t="shared" si="0"/>
        <v>0.61999999999999744</v>
      </c>
      <c r="AF47" s="138">
        <f t="shared" si="1"/>
        <v>1.6466326362589712E-3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64.916800000000009</v>
      </c>
      <c r="Q48" s="2"/>
      <c r="T48" s="93" t="s">
        <v>103</v>
      </c>
      <c r="U48" s="130">
        <v>0.61385100000000004</v>
      </c>
      <c r="X48" s="133">
        <v>42688</v>
      </c>
      <c r="Y48" s="10">
        <v>60.93</v>
      </c>
      <c r="Z48" s="10">
        <v>61.47</v>
      </c>
      <c r="AA48" s="10">
        <v>60.66</v>
      </c>
      <c r="AB48" s="10">
        <v>61.2</v>
      </c>
      <c r="AC48" s="95">
        <v>3466500</v>
      </c>
      <c r="AD48" s="10">
        <v>60.73</v>
      </c>
      <c r="AE48" s="2">
        <f t="shared" si="0"/>
        <v>0.81000000000000227</v>
      </c>
      <c r="AF48" s="138">
        <f t="shared" si="1"/>
        <v>2.6415717351824242E-3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64.292600000000007</v>
      </c>
      <c r="Q49" s="2"/>
      <c r="T49" s="93" t="s">
        <v>122</v>
      </c>
      <c r="U49" s="130" t="s">
        <v>389</v>
      </c>
      <c r="X49" s="133">
        <v>42685</v>
      </c>
      <c r="Y49" s="10">
        <v>61.09</v>
      </c>
      <c r="Z49" s="10">
        <v>61.65</v>
      </c>
      <c r="AA49" s="10">
        <v>60.55</v>
      </c>
      <c r="AB49" s="10">
        <v>61.04</v>
      </c>
      <c r="AC49" s="95">
        <v>3328300</v>
      </c>
      <c r="AD49" s="10">
        <v>60.57</v>
      </c>
      <c r="AE49" s="2">
        <f t="shared" si="0"/>
        <v>1.1000000000000014</v>
      </c>
      <c r="AF49" s="138">
        <f t="shared" si="1"/>
        <v>-4.9504950495049549E-4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63.668400000000005</v>
      </c>
      <c r="Q50" s="2"/>
      <c r="T50" s="93"/>
      <c r="U50" s="130"/>
      <c r="X50" s="133">
        <v>42684</v>
      </c>
      <c r="Y50" s="10">
        <v>62.42</v>
      </c>
      <c r="Z50" s="10">
        <v>62.51</v>
      </c>
      <c r="AA50" s="10">
        <v>60.81</v>
      </c>
      <c r="AB50" s="10">
        <v>61.07</v>
      </c>
      <c r="AC50" s="95">
        <v>6338200</v>
      </c>
      <c r="AD50" s="10">
        <v>60.6</v>
      </c>
      <c r="AE50" s="2">
        <f t="shared" si="0"/>
        <v>1.6999999999999957</v>
      </c>
      <c r="AF50" s="138">
        <f t="shared" si="1"/>
        <v>-2.6662383552842894E-2</v>
      </c>
    </row>
    <row r="51" spans="1:32" x14ac:dyDescent="0.25">
      <c r="O51" s="83">
        <v>1.01</v>
      </c>
      <c r="P51" s="83">
        <f t="shared" si="14"/>
        <v>63.044200000000004</v>
      </c>
      <c r="Q51" s="2"/>
      <c r="T51" s="93" t="s">
        <v>105</v>
      </c>
      <c r="U51" s="130" t="s">
        <v>594</v>
      </c>
      <c r="X51" s="133">
        <v>42683</v>
      </c>
      <c r="Y51" s="10">
        <v>62.42</v>
      </c>
      <c r="Z51" s="10">
        <v>62.95</v>
      </c>
      <c r="AA51" s="10">
        <v>61.17</v>
      </c>
      <c r="AB51" s="10">
        <v>62.74</v>
      </c>
      <c r="AC51" s="95">
        <v>4893200</v>
      </c>
      <c r="AD51" s="10">
        <v>62.26</v>
      </c>
      <c r="AE51" s="2">
        <f t="shared" si="0"/>
        <v>1.7800000000000011</v>
      </c>
      <c r="AF51" s="138">
        <f t="shared" si="1"/>
        <v>-1.5185068016450476E-2</v>
      </c>
    </row>
    <row r="52" spans="1:32" x14ac:dyDescent="0.25">
      <c r="O52" s="83">
        <v>1</v>
      </c>
      <c r="P52" s="83">
        <f t="shared" si="14"/>
        <v>62.42</v>
      </c>
      <c r="Q52" s="2"/>
      <c r="T52" s="93" t="s">
        <v>106</v>
      </c>
      <c r="U52" s="130" t="s">
        <v>595</v>
      </c>
      <c r="X52" s="133">
        <v>42682</v>
      </c>
      <c r="Y52" s="10">
        <v>61.86</v>
      </c>
      <c r="Z52" s="10">
        <v>63.93</v>
      </c>
      <c r="AA52" s="10">
        <v>61.84</v>
      </c>
      <c r="AB52" s="10">
        <v>63.71</v>
      </c>
      <c r="AC52" s="95">
        <v>4596800</v>
      </c>
      <c r="AD52" s="10">
        <v>63.22</v>
      </c>
      <c r="AE52" s="2">
        <f t="shared" si="0"/>
        <v>2.0899999999999963</v>
      </c>
      <c r="AF52" s="138">
        <f t="shared" si="1"/>
        <v>3.0480847595762084E-2</v>
      </c>
    </row>
    <row r="53" spans="1:32" x14ac:dyDescent="0.25">
      <c r="O53" s="83">
        <v>0.99</v>
      </c>
      <c r="P53" s="83">
        <f t="shared" si="14"/>
        <v>61.7958</v>
      </c>
      <c r="Q53" s="2"/>
      <c r="T53" s="514" t="s">
        <v>107</v>
      </c>
      <c r="U53" s="131">
        <v>3103966</v>
      </c>
      <c r="X53" s="133">
        <v>42681</v>
      </c>
      <c r="Y53" s="10">
        <v>61.03</v>
      </c>
      <c r="Z53" s="10">
        <v>61.94</v>
      </c>
      <c r="AA53" s="10">
        <v>60.91</v>
      </c>
      <c r="AB53" s="10">
        <v>61.83</v>
      </c>
      <c r="AC53" s="95">
        <v>3173900</v>
      </c>
      <c r="AD53" s="10">
        <v>61.35</v>
      </c>
      <c r="AE53" s="2">
        <f t="shared" si="0"/>
        <v>1.0300000000000011</v>
      </c>
      <c r="AF53" s="138">
        <f t="shared" si="1"/>
        <v>1.9441674975074763E-2</v>
      </c>
    </row>
    <row r="54" spans="1:32" x14ac:dyDescent="0.25">
      <c r="O54" s="83">
        <v>0.98</v>
      </c>
      <c r="P54" s="83">
        <f t="shared" si="14"/>
        <v>61.171599999999998</v>
      </c>
      <c r="Q54" s="2"/>
      <c r="T54" s="514" t="s">
        <v>110</v>
      </c>
      <c r="U54" s="131">
        <v>2877020</v>
      </c>
      <c r="X54" s="133">
        <v>42678</v>
      </c>
      <c r="Y54" s="10">
        <v>61.05</v>
      </c>
      <c r="Z54" s="10">
        <v>61.21</v>
      </c>
      <c r="AA54" s="10">
        <v>60.65</v>
      </c>
      <c r="AB54" s="10">
        <v>60.65</v>
      </c>
      <c r="AC54" s="95">
        <v>2578300</v>
      </c>
      <c r="AD54" s="10">
        <v>60.18</v>
      </c>
      <c r="AE54" s="2">
        <f t="shared" si="0"/>
        <v>0.56000000000000227</v>
      </c>
      <c r="AF54" s="138">
        <f t="shared" si="1"/>
        <v>-7.7493816982687758E-3</v>
      </c>
    </row>
    <row r="55" spans="1:32" x14ac:dyDescent="0.25">
      <c r="O55" s="83">
        <v>0.97</v>
      </c>
      <c r="P55" s="83">
        <f t="shared" si="14"/>
        <v>60.547400000000003</v>
      </c>
      <c r="T55" s="93" t="s">
        <v>108</v>
      </c>
      <c r="U55" s="130" t="s">
        <v>596</v>
      </c>
      <c r="X55" s="133">
        <v>42677</v>
      </c>
      <c r="Y55" s="10">
        <v>61.36</v>
      </c>
      <c r="Z55" s="10">
        <v>61.67</v>
      </c>
      <c r="AA55" s="10">
        <v>61.05</v>
      </c>
      <c r="AB55" s="10">
        <v>61.12</v>
      </c>
      <c r="AC55" s="95">
        <v>2317100</v>
      </c>
      <c r="AD55" s="10">
        <v>60.65</v>
      </c>
      <c r="AE55" s="2">
        <f t="shared" si="0"/>
        <v>0.62000000000000455</v>
      </c>
      <c r="AF55" s="138">
        <f t="shared" si="1"/>
        <v>-4.268593006074517E-3</v>
      </c>
    </row>
    <row r="56" spans="1:32" x14ac:dyDescent="0.25">
      <c r="O56" s="83">
        <v>0.96</v>
      </c>
      <c r="P56" s="83">
        <f t="shared" si="14"/>
        <v>59.923200000000001</v>
      </c>
      <c r="T56" s="93" t="s">
        <v>111</v>
      </c>
      <c r="U56" s="130">
        <v>23.31</v>
      </c>
      <c r="X56" s="133">
        <v>42676</v>
      </c>
      <c r="Y56" s="10">
        <v>61.62</v>
      </c>
      <c r="Z56" s="10">
        <v>61.91</v>
      </c>
      <c r="AA56" s="10">
        <v>61.36</v>
      </c>
      <c r="AB56" s="10">
        <v>61.38</v>
      </c>
      <c r="AC56" s="95">
        <v>2889600</v>
      </c>
      <c r="AD56" s="10">
        <v>60.91</v>
      </c>
      <c r="AE56" s="2">
        <f t="shared" si="0"/>
        <v>0.54999999999999716</v>
      </c>
      <c r="AF56" s="138">
        <f t="shared" si="1"/>
        <v>-3.9247751430907529E-3</v>
      </c>
    </row>
    <row r="57" spans="1:32" x14ac:dyDescent="0.25">
      <c r="O57" s="83">
        <v>0.95</v>
      </c>
      <c r="P57" s="83">
        <f t="shared" si="14"/>
        <v>59.298999999999999</v>
      </c>
      <c r="T57" s="93" t="s">
        <v>112</v>
      </c>
      <c r="U57" s="130">
        <v>2.68</v>
      </c>
      <c r="X57" s="133">
        <v>42675</v>
      </c>
      <c r="Y57" s="10">
        <v>62.16</v>
      </c>
      <c r="Z57" s="10">
        <v>62.19</v>
      </c>
      <c r="AA57" s="10">
        <v>61.39</v>
      </c>
      <c r="AB57" s="10">
        <v>61.63</v>
      </c>
      <c r="AC57" s="95">
        <v>3449700</v>
      </c>
      <c r="AD57" s="10">
        <v>61.15</v>
      </c>
      <c r="AE57" s="2">
        <f t="shared" si="0"/>
        <v>0.79999999999999716</v>
      </c>
      <c r="AF57" s="138">
        <f t="shared" si="1"/>
        <v>-5.6910569105691478E-3</v>
      </c>
    </row>
    <row r="58" spans="1:32" x14ac:dyDescent="0.25">
      <c r="O58" s="83">
        <v>0.94</v>
      </c>
      <c r="P58" s="83">
        <f t="shared" si="14"/>
        <v>58.674799999999998</v>
      </c>
      <c r="T58" s="93" t="s">
        <v>109</v>
      </c>
      <c r="U58" s="130" t="s">
        <v>653</v>
      </c>
      <c r="X58" s="133">
        <v>42674</v>
      </c>
      <c r="Y58" s="10">
        <v>61.7</v>
      </c>
      <c r="Z58" s="10">
        <v>62.02</v>
      </c>
      <c r="AA58" s="10">
        <v>61.5</v>
      </c>
      <c r="AB58" s="10">
        <v>61.98</v>
      </c>
      <c r="AC58" s="95">
        <v>2745300</v>
      </c>
      <c r="AD58" s="10">
        <v>61.5</v>
      </c>
      <c r="AE58" s="2">
        <f t="shared" si="0"/>
        <v>0.52000000000000313</v>
      </c>
      <c r="AF58" s="138">
        <f t="shared" si="1"/>
        <v>5.2304674730303535E-3</v>
      </c>
    </row>
    <row r="59" spans="1:32" x14ac:dyDescent="0.25">
      <c r="O59" s="83">
        <v>0.93</v>
      </c>
      <c r="P59" s="83">
        <f t="shared" si="14"/>
        <v>58.050600000000003</v>
      </c>
      <c r="X59" s="133">
        <v>42671</v>
      </c>
      <c r="Y59" s="10">
        <v>60.84</v>
      </c>
      <c r="Z59" s="10">
        <v>61.85</v>
      </c>
      <c r="AA59" s="10">
        <v>60.79</v>
      </c>
      <c r="AB59" s="10">
        <v>61.66</v>
      </c>
      <c r="AC59" s="95">
        <v>2750100</v>
      </c>
      <c r="AD59" s="10">
        <v>61.18</v>
      </c>
      <c r="AE59" s="2">
        <f t="shared" si="0"/>
        <v>1.0600000000000023</v>
      </c>
      <c r="AF59" s="138">
        <f t="shared" si="1"/>
        <v>1.5435684647302939E-2</v>
      </c>
    </row>
    <row r="60" spans="1:32" x14ac:dyDescent="0.25">
      <c r="O60" s="83">
        <v>0.92</v>
      </c>
      <c r="P60" s="83">
        <f t="shared" si="14"/>
        <v>57.426400000000001</v>
      </c>
      <c r="X60" s="133">
        <v>42670</v>
      </c>
      <c r="Y60" s="10">
        <v>61.01</v>
      </c>
      <c r="Z60" s="10">
        <v>61.22</v>
      </c>
      <c r="AA60" s="10">
        <v>60.63</v>
      </c>
      <c r="AB60" s="10">
        <v>60.72</v>
      </c>
      <c r="AC60" s="95">
        <v>2277500</v>
      </c>
      <c r="AD60" s="10">
        <v>60.25</v>
      </c>
      <c r="AE60" s="2">
        <f t="shared" si="0"/>
        <v>0.58999999999999631</v>
      </c>
      <c r="AF60" s="138">
        <f t="shared" si="1"/>
        <v>-1.9877422560874436E-3</v>
      </c>
    </row>
    <row r="61" spans="1:32" x14ac:dyDescent="0.25">
      <c r="O61" s="83">
        <v>0.91</v>
      </c>
      <c r="P61" s="83">
        <f t="shared" si="14"/>
        <v>56.802200000000006</v>
      </c>
      <c r="X61" s="133">
        <v>42669</v>
      </c>
      <c r="Y61" s="10">
        <v>61.2</v>
      </c>
      <c r="Z61" s="10">
        <v>61.32</v>
      </c>
      <c r="AA61" s="10">
        <v>60.77</v>
      </c>
      <c r="AB61" s="10">
        <v>60.84</v>
      </c>
      <c r="AC61" s="95">
        <v>1852600</v>
      </c>
      <c r="AD61" s="10">
        <v>60.37</v>
      </c>
      <c r="AE61" s="2">
        <f t="shared" si="0"/>
        <v>0.54999999999999716</v>
      </c>
      <c r="AF61" s="138">
        <f t="shared" si="1"/>
        <v>-4.2883061190830407E-3</v>
      </c>
    </row>
    <row r="62" spans="1:32" x14ac:dyDescent="0.25">
      <c r="O62" s="83">
        <v>0.9</v>
      </c>
      <c r="P62" s="83">
        <f t="shared" si="14"/>
        <v>56.178000000000004</v>
      </c>
      <c r="X62" s="133">
        <v>42668</v>
      </c>
      <c r="Y62" s="10">
        <v>60.97</v>
      </c>
      <c r="Z62" s="10">
        <v>61.14</v>
      </c>
      <c r="AA62" s="10">
        <v>60.85</v>
      </c>
      <c r="AB62" s="10">
        <v>61.1</v>
      </c>
      <c r="AC62" s="95">
        <v>2012000</v>
      </c>
      <c r="AD62" s="10">
        <v>60.63</v>
      </c>
      <c r="AE62" s="2">
        <f t="shared" si="0"/>
        <v>0.28999999999999915</v>
      </c>
      <c r="AF62" s="138">
        <f t="shared" si="1"/>
        <v>3.4756703078451245E-3</v>
      </c>
    </row>
    <row r="63" spans="1:32" x14ac:dyDescent="0.25">
      <c r="X63" s="133">
        <v>42667</v>
      </c>
      <c r="Y63" s="10">
        <v>60.99</v>
      </c>
      <c r="Z63" s="10">
        <v>61.24</v>
      </c>
      <c r="AA63" s="10">
        <v>60.58</v>
      </c>
      <c r="AB63" s="10">
        <v>60.89</v>
      </c>
      <c r="AC63" s="95">
        <v>3040500</v>
      </c>
      <c r="AD63" s="10">
        <v>60.42</v>
      </c>
      <c r="AE63" s="2">
        <f t="shared" si="0"/>
        <v>0.66000000000000369</v>
      </c>
      <c r="AF63" s="138">
        <f t="shared" si="1"/>
        <v>2.9880478087649376E-3</v>
      </c>
    </row>
    <row r="64" spans="1:32" x14ac:dyDescent="0.25">
      <c r="X64" s="133">
        <v>42664</v>
      </c>
      <c r="Y64" s="10">
        <v>60.79</v>
      </c>
      <c r="Z64" s="10">
        <v>60.92</v>
      </c>
      <c r="AA64" s="10">
        <v>60.44</v>
      </c>
      <c r="AB64" s="10">
        <v>60.71</v>
      </c>
      <c r="AC64" s="95">
        <v>3710000</v>
      </c>
      <c r="AD64" s="10">
        <v>60.24</v>
      </c>
      <c r="AE64" s="2">
        <f t="shared" si="0"/>
        <v>0.48000000000000398</v>
      </c>
      <c r="AF64" s="138">
        <f t="shared" si="1"/>
        <v>-4.7910127209648268E-3</v>
      </c>
    </row>
    <row r="65" spans="24:32" x14ac:dyDescent="0.25">
      <c r="X65" s="133">
        <v>42663</v>
      </c>
      <c r="Y65" s="10">
        <v>61.56</v>
      </c>
      <c r="Z65" s="10">
        <v>61.56</v>
      </c>
      <c r="AA65" s="10">
        <v>60.94</v>
      </c>
      <c r="AB65" s="10">
        <v>61</v>
      </c>
      <c r="AC65" s="95">
        <v>4403100</v>
      </c>
      <c r="AD65" s="10">
        <v>60.53</v>
      </c>
      <c r="AE65" s="2">
        <f t="shared" si="0"/>
        <v>0.62000000000000455</v>
      </c>
      <c r="AF65" s="138">
        <f t="shared" si="1"/>
        <v>-9.3289689034370404E-3</v>
      </c>
    </row>
    <row r="66" spans="24:32" x14ac:dyDescent="0.25">
      <c r="X66" s="133">
        <v>42662</v>
      </c>
      <c r="Y66" s="10">
        <v>61.95</v>
      </c>
      <c r="Z66" s="10">
        <v>61.95</v>
      </c>
      <c r="AA66" s="10">
        <v>61.34</v>
      </c>
      <c r="AB66" s="10">
        <v>61.57</v>
      </c>
      <c r="AC66" s="95">
        <v>4423300</v>
      </c>
      <c r="AD66" s="10">
        <v>61.1</v>
      </c>
      <c r="AE66" s="2">
        <f t="shared" si="0"/>
        <v>0.60999999999999943</v>
      </c>
      <c r="AF66" s="138">
        <f t="shared" si="1"/>
        <v>-5.3719680937652781E-3</v>
      </c>
    </row>
    <row r="67" spans="24:32" x14ac:dyDescent="0.25">
      <c r="X67" s="133">
        <v>42661</v>
      </c>
      <c r="Y67" s="10">
        <v>62.24</v>
      </c>
      <c r="Z67" s="10">
        <v>62.25</v>
      </c>
      <c r="AA67" s="10">
        <v>61.73</v>
      </c>
      <c r="AB67" s="10">
        <v>61.91</v>
      </c>
      <c r="AC67" s="95">
        <v>5041300</v>
      </c>
      <c r="AD67" s="10">
        <v>61.43</v>
      </c>
      <c r="AE67" s="2">
        <f>Z67-AA67</f>
        <v>0.52000000000000313</v>
      </c>
      <c r="AF67" s="138">
        <f>AD67/AD68-1</f>
        <v>2.2842225485397716E-3</v>
      </c>
    </row>
    <row r="68" spans="24:32" x14ac:dyDescent="0.25">
      <c r="X68" s="133">
        <v>42660</v>
      </c>
      <c r="Y68" s="10">
        <v>62.48</v>
      </c>
      <c r="Z68" s="10">
        <v>62.48</v>
      </c>
      <c r="AA68" s="10">
        <v>61.71</v>
      </c>
      <c r="AB68" s="10">
        <v>61.77</v>
      </c>
      <c r="AC68" s="95">
        <v>3404100</v>
      </c>
      <c r="AD68" s="10">
        <v>61.29</v>
      </c>
      <c r="AE68" s="2">
        <f>Z68-AA68</f>
        <v>0.76999999999999602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42755</v>
      </c>
      <c r="X2" s="10">
        <v>37.42</v>
      </c>
      <c r="Y2" s="10">
        <v>37.42</v>
      </c>
      <c r="Z2" s="10">
        <v>36.76</v>
      </c>
      <c r="AA2" s="10">
        <v>37.01</v>
      </c>
      <c r="AB2" s="95">
        <v>13631600</v>
      </c>
      <c r="AC2" s="10">
        <v>37.01</v>
      </c>
      <c r="AD2" s="2">
        <f>Y2-Z2</f>
        <v>0.66000000000000369</v>
      </c>
      <c r="AE2" s="138">
        <f>AC2/AC3-1</f>
        <v>-7.7747989276139018E-3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37.01</v>
      </c>
      <c r="W3" s="133">
        <v>42754</v>
      </c>
      <c r="X3" s="10">
        <v>37.630000000000003</v>
      </c>
      <c r="Y3" s="10">
        <v>37.840000000000003</v>
      </c>
      <c r="Z3" s="10">
        <v>37.159999999999997</v>
      </c>
      <c r="AA3" s="10">
        <v>37.299999999999997</v>
      </c>
      <c r="AB3" s="95">
        <v>8181700</v>
      </c>
      <c r="AC3" s="10">
        <v>37.299999999999997</v>
      </c>
      <c r="AD3" s="2">
        <f t="shared" ref="AD3:AD66" si="0">Y3-Z3</f>
        <v>0.68000000000000682</v>
      </c>
      <c r="AE3" s="138">
        <f t="shared" ref="AE3:AE66" si="1">AC3/AC4-1</f>
        <v>-4.5369629036563497E-3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37.01</v>
      </c>
      <c r="R4" s="505">
        <v>-7.7999999999999996E-3</v>
      </c>
      <c r="W4" s="133">
        <v>42753</v>
      </c>
      <c r="X4" s="10">
        <v>37.450000000000003</v>
      </c>
      <c r="Y4" s="10">
        <v>37.58</v>
      </c>
      <c r="Z4" s="10">
        <v>37.119999999999997</v>
      </c>
      <c r="AA4" s="10">
        <v>37.47</v>
      </c>
      <c r="AB4" s="95">
        <v>10874200</v>
      </c>
      <c r="AC4" s="10">
        <v>37.47</v>
      </c>
      <c r="AD4" s="2">
        <f t="shared" si="0"/>
        <v>0.46000000000000085</v>
      </c>
      <c r="AE4" s="138">
        <f t="shared" si="1"/>
        <v>4.2883945322969019E-3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37.340000000000003</v>
      </c>
      <c r="Y5" s="10">
        <v>37.69</v>
      </c>
      <c r="Z5" s="10">
        <v>37.17</v>
      </c>
      <c r="AA5" s="10">
        <v>37.31</v>
      </c>
      <c r="AB5" s="95">
        <v>8219700</v>
      </c>
      <c r="AC5" s="10">
        <v>37.31</v>
      </c>
      <c r="AD5" s="2">
        <f t="shared" si="0"/>
        <v>0.51999999999999602</v>
      </c>
      <c r="AE5" s="138">
        <f t="shared" si="1"/>
        <v>-8.0342795929300159E-4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37.549999999999997</v>
      </c>
      <c r="Y6" s="10">
        <v>37.770000000000003</v>
      </c>
      <c r="Z6" s="10">
        <v>37.15</v>
      </c>
      <c r="AA6" s="10">
        <v>37.340000000000003</v>
      </c>
      <c r="AB6" s="95">
        <v>8711000</v>
      </c>
      <c r="AC6" s="10">
        <v>37.340000000000003</v>
      </c>
      <c r="AD6" s="2">
        <f t="shared" si="0"/>
        <v>0.62000000000000455</v>
      </c>
      <c r="AE6" s="138">
        <f t="shared" si="1"/>
        <v>-4.5321247667287068E-3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42747</v>
      </c>
      <c r="X7" s="10">
        <v>38</v>
      </c>
      <c r="Y7" s="10">
        <v>38.15</v>
      </c>
      <c r="Z7" s="10">
        <v>37.06</v>
      </c>
      <c r="AA7" s="10">
        <v>37.51</v>
      </c>
      <c r="AB7" s="95">
        <v>16825900</v>
      </c>
      <c r="AC7" s="10">
        <v>37.51</v>
      </c>
      <c r="AD7" s="2">
        <f t="shared" si="0"/>
        <v>1.0899999999999963</v>
      </c>
      <c r="AE7" s="138">
        <f t="shared" si="1"/>
        <v>-1.1594202898550843E-2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37.54</v>
      </c>
      <c r="Y8" s="10">
        <v>38.11</v>
      </c>
      <c r="Z8" s="10">
        <v>37.22</v>
      </c>
      <c r="AA8" s="10">
        <v>37.950000000000003</v>
      </c>
      <c r="AB8" s="95">
        <v>19483300</v>
      </c>
      <c r="AC8" s="10">
        <v>37.950000000000003</v>
      </c>
      <c r="AD8" s="2">
        <f t="shared" si="0"/>
        <v>0.89000000000000057</v>
      </c>
      <c r="AE8" s="138">
        <f t="shared" si="1"/>
        <v>1.6064257028112428E-2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36.19</v>
      </c>
      <c r="Y9" s="10">
        <v>38.159999999999997</v>
      </c>
      <c r="Z9" s="10">
        <v>36.049999999999997</v>
      </c>
      <c r="AA9" s="10">
        <v>37.35</v>
      </c>
      <c r="AB9" s="95">
        <v>34785800</v>
      </c>
      <c r="AC9" s="10">
        <v>37.35</v>
      </c>
      <c r="AD9" s="2">
        <f t="shared" si="0"/>
        <v>2.1099999999999994</v>
      </c>
      <c r="AE9" s="138">
        <f t="shared" si="1"/>
        <v>3.7211885587336901E-2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M29</f>
        <v>36.819999999999709</v>
      </c>
      <c r="W10" s="133">
        <v>42744</v>
      </c>
      <c r="X10" s="10">
        <v>36.119999999999997</v>
      </c>
      <c r="Y10" s="10">
        <v>36.53</v>
      </c>
      <c r="Z10" s="10">
        <v>35.86</v>
      </c>
      <c r="AA10" s="10">
        <v>36.01</v>
      </c>
      <c r="AB10" s="95">
        <v>15201300</v>
      </c>
      <c r="AC10" s="10">
        <v>36.01</v>
      </c>
      <c r="AD10" s="2">
        <f t="shared" si="0"/>
        <v>0.67000000000000171</v>
      </c>
      <c r="AE10" s="138">
        <f t="shared" si="1"/>
        <v>5.5570991942199832E-4</v>
      </c>
    </row>
    <row r="11" spans="1:31" x14ac:dyDescent="0.25">
      <c r="O11" s="11" t="s">
        <v>179</v>
      </c>
      <c r="P11" s="34"/>
      <c r="Q11" s="138">
        <f>VALUE(TRIM(CLEAN(MID(U58, FIND("(", U58)+1, 5))))</f>
        <v>4.1099999999999998E-2</v>
      </c>
      <c r="W11" s="133">
        <v>42741</v>
      </c>
      <c r="X11" s="10">
        <v>36.409999999999997</v>
      </c>
      <c r="Y11" s="10">
        <v>36.549999999999997</v>
      </c>
      <c r="Z11" s="10">
        <v>35.93</v>
      </c>
      <c r="AA11" s="10">
        <v>35.99</v>
      </c>
      <c r="AB11" s="95">
        <v>13234800</v>
      </c>
      <c r="AC11" s="10">
        <v>35.99</v>
      </c>
      <c r="AD11" s="2">
        <f t="shared" si="0"/>
        <v>0.61999999999999744</v>
      </c>
      <c r="AE11" s="138">
        <f t="shared" si="1"/>
        <v>-1.0992030777686179E-2</v>
      </c>
    </row>
    <row r="12" spans="1:31" x14ac:dyDescent="0.25">
      <c r="W12" s="133">
        <v>42740</v>
      </c>
      <c r="X12" s="10">
        <v>37.01</v>
      </c>
      <c r="Y12" s="10">
        <v>37.049999999999997</v>
      </c>
      <c r="Z12" s="10">
        <v>36.07</v>
      </c>
      <c r="AA12" s="10">
        <v>36.39</v>
      </c>
      <c r="AB12" s="95">
        <v>15621900</v>
      </c>
      <c r="AC12" s="10">
        <v>36.39</v>
      </c>
      <c r="AD12" s="2">
        <f t="shared" si="0"/>
        <v>0.97999999999999687</v>
      </c>
      <c r="AE12" s="138">
        <f t="shared" si="1"/>
        <v>-1.8873011593421474E-2</v>
      </c>
    </row>
    <row r="13" spans="1:31" x14ac:dyDescent="0.25">
      <c r="W13" s="133">
        <v>42739</v>
      </c>
      <c r="X13" s="10">
        <v>35.6</v>
      </c>
      <c r="Y13" s="10">
        <v>37.24</v>
      </c>
      <c r="Z13" s="10">
        <v>35.47</v>
      </c>
      <c r="AA13" s="10">
        <v>37.090000000000003</v>
      </c>
      <c r="AB13" s="95">
        <v>23293100</v>
      </c>
      <c r="AC13" s="10">
        <v>37.090000000000003</v>
      </c>
      <c r="AD13" s="2">
        <f t="shared" si="0"/>
        <v>1.7700000000000031</v>
      </c>
      <c r="AE13" s="138">
        <f t="shared" si="1"/>
        <v>5.5192034139402768E-2</v>
      </c>
    </row>
    <row r="14" spans="1:31" x14ac:dyDescent="0.25">
      <c r="W14" s="133">
        <v>42738</v>
      </c>
      <c r="X14" s="10">
        <v>34.979999999999997</v>
      </c>
      <c r="Y14" s="10">
        <v>35.57</v>
      </c>
      <c r="Z14" s="10">
        <v>34.840000000000003</v>
      </c>
      <c r="AA14" s="10">
        <v>35.15</v>
      </c>
      <c r="AB14" s="95">
        <v>10901100</v>
      </c>
      <c r="AC14" s="10">
        <v>35.15</v>
      </c>
      <c r="AD14" s="2">
        <f t="shared" si="0"/>
        <v>0.72999999999999687</v>
      </c>
      <c r="AE14" s="138">
        <f t="shared" si="1"/>
        <v>8.897818599310936E-3</v>
      </c>
    </row>
    <row r="15" spans="1:31" x14ac:dyDescent="0.25">
      <c r="W15" s="133">
        <v>42734</v>
      </c>
      <c r="X15" s="10">
        <v>35.21</v>
      </c>
      <c r="Y15" s="10">
        <v>35.31</v>
      </c>
      <c r="Z15" s="10">
        <v>34.67</v>
      </c>
      <c r="AA15" s="10">
        <v>34.840000000000003</v>
      </c>
      <c r="AB15" s="95">
        <v>7644100</v>
      </c>
      <c r="AC15" s="10">
        <v>34.840000000000003</v>
      </c>
      <c r="AD15" s="2">
        <f t="shared" si="0"/>
        <v>0.64000000000000057</v>
      </c>
      <c r="AE15" s="138">
        <f t="shared" si="1"/>
        <v>-8.5372794536140439E-3</v>
      </c>
    </row>
    <row r="16" spans="1:31" x14ac:dyDescent="0.25">
      <c r="W16" s="133">
        <v>42733</v>
      </c>
      <c r="X16" s="10">
        <v>35.25</v>
      </c>
      <c r="Y16" s="10">
        <v>35.479999999999997</v>
      </c>
      <c r="Z16" s="10">
        <v>35.119999999999997</v>
      </c>
      <c r="AA16" s="10">
        <v>35.14</v>
      </c>
      <c r="AB16" s="95">
        <v>4415300</v>
      </c>
      <c r="AC16" s="10">
        <v>35.14</v>
      </c>
      <c r="AD16" s="2">
        <f t="shared" si="0"/>
        <v>0.35999999999999943</v>
      </c>
      <c r="AE16" s="138">
        <f t="shared" si="1"/>
        <v>-2.8449502133709448E-4</v>
      </c>
    </row>
    <row r="17" spans="1:31" x14ac:dyDescent="0.25">
      <c r="W17" s="133">
        <v>42732</v>
      </c>
      <c r="X17" s="10">
        <v>35.74</v>
      </c>
      <c r="Y17" s="10">
        <v>35.799999999999997</v>
      </c>
      <c r="Z17" s="10">
        <v>35.130000000000003</v>
      </c>
      <c r="AA17" s="10">
        <v>35.15</v>
      </c>
      <c r="AB17" s="95">
        <v>8395400</v>
      </c>
      <c r="AC17" s="10">
        <v>35.15</v>
      </c>
      <c r="AD17" s="2">
        <f t="shared" si="0"/>
        <v>0.6699999999999946</v>
      </c>
      <c r="AE17" s="138">
        <f t="shared" si="1"/>
        <v>-1.097355092853125E-2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42731</v>
      </c>
      <c r="X18" s="10">
        <v>35.799999999999997</v>
      </c>
      <c r="Y18" s="10">
        <v>35.93</v>
      </c>
      <c r="Z18" s="10">
        <v>35.5</v>
      </c>
      <c r="AA18" s="10">
        <v>35.54</v>
      </c>
      <c r="AB18" s="95">
        <v>5983700</v>
      </c>
      <c r="AC18" s="10">
        <v>35.54</v>
      </c>
      <c r="AD18" s="2">
        <f t="shared" si="0"/>
        <v>0.42999999999999972</v>
      </c>
      <c r="AE18" s="138">
        <f t="shared" si="1"/>
        <v>-4.2028579434014723E-3</v>
      </c>
    </row>
    <row r="19" spans="1:31" x14ac:dyDescent="0.25">
      <c r="W19" s="133">
        <v>42727</v>
      </c>
      <c r="X19" s="10">
        <v>35.83</v>
      </c>
      <c r="Y19" s="10">
        <v>35.869999999999997</v>
      </c>
      <c r="Z19" s="10">
        <v>35.54</v>
      </c>
      <c r="AA19" s="10">
        <v>35.69</v>
      </c>
      <c r="AB19" s="95">
        <v>9044300</v>
      </c>
      <c r="AC19" s="10">
        <v>35.69</v>
      </c>
      <c r="AD19" s="2">
        <f t="shared" si="0"/>
        <v>0.32999999999999829</v>
      </c>
      <c r="AE19" s="138">
        <f t="shared" si="1"/>
        <v>0</v>
      </c>
    </row>
    <row r="20" spans="1:31" x14ac:dyDescent="0.25">
      <c r="W20" s="133">
        <v>42726</v>
      </c>
      <c r="X20" s="10">
        <v>36.29</v>
      </c>
      <c r="Y20" s="10">
        <v>36.4</v>
      </c>
      <c r="Z20" s="10">
        <v>35.630000000000003</v>
      </c>
      <c r="AA20" s="10">
        <v>35.69</v>
      </c>
      <c r="AB20" s="95">
        <v>9851400</v>
      </c>
      <c r="AC20" s="10">
        <v>35.69</v>
      </c>
      <c r="AD20" s="2">
        <f t="shared" si="0"/>
        <v>0.76999999999999602</v>
      </c>
      <c r="AE20" s="138">
        <f t="shared" si="1"/>
        <v>-2.0043931905546541E-2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36.5</v>
      </c>
      <c r="Y21" s="10">
        <v>36.69</v>
      </c>
      <c r="Z21" s="10">
        <v>36.35</v>
      </c>
      <c r="AA21" s="10">
        <v>36.42</v>
      </c>
      <c r="AB21" s="95">
        <v>6667900</v>
      </c>
      <c r="AC21" s="10">
        <v>36.42</v>
      </c>
      <c r="AD21" s="2">
        <f t="shared" si="0"/>
        <v>0.33999999999999631</v>
      </c>
      <c r="AE21" s="138">
        <f t="shared" si="1"/>
        <v>-5.1898388418464281E-3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42724</v>
      </c>
      <c r="X22" s="10">
        <v>36.4</v>
      </c>
      <c r="Y22" s="10">
        <v>36.729999999999997</v>
      </c>
      <c r="Z22" s="10">
        <v>36.229999999999997</v>
      </c>
      <c r="AA22" s="10">
        <v>36.61</v>
      </c>
      <c r="AB22" s="95">
        <v>8769100</v>
      </c>
      <c r="AC22" s="10">
        <v>36.61</v>
      </c>
      <c r="AD22" s="2">
        <f t="shared" si="0"/>
        <v>0.5</v>
      </c>
      <c r="AE22" s="138">
        <f t="shared" si="1"/>
        <v>5.7692307692307487E-3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42723</v>
      </c>
      <c r="X23" s="10">
        <v>36.49</v>
      </c>
      <c r="Y23" s="10">
        <v>36.729999999999997</v>
      </c>
      <c r="Z23" s="10">
        <v>36.15</v>
      </c>
      <c r="AA23" s="10">
        <v>36.4</v>
      </c>
      <c r="AB23" s="95">
        <v>10404200</v>
      </c>
      <c r="AC23" s="10">
        <v>36.4</v>
      </c>
      <c r="AD23" s="2">
        <f t="shared" si="0"/>
        <v>0.57999999999999829</v>
      </c>
      <c r="AE23" s="138">
        <f t="shared" si="1"/>
        <v>8.2485565026124696E-4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42720</v>
      </c>
      <c r="X24" s="10">
        <v>36.4</v>
      </c>
      <c r="Y24" s="10">
        <v>36.409999999999997</v>
      </c>
      <c r="Z24" s="10">
        <v>36.1</v>
      </c>
      <c r="AA24" s="10">
        <v>36.369999999999997</v>
      </c>
      <c r="AB24" s="95">
        <v>23566000</v>
      </c>
      <c r="AC24" s="10">
        <v>36.369999999999997</v>
      </c>
      <c r="AD24" s="2">
        <f t="shared" si="0"/>
        <v>0.30999999999999517</v>
      </c>
      <c r="AE24" s="138">
        <f t="shared" si="1"/>
        <v>3.587196467990994E-3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42719</v>
      </c>
      <c r="X25" s="10">
        <v>35.869999999999997</v>
      </c>
      <c r="Y25" s="10">
        <v>36.39</v>
      </c>
      <c r="Z25" s="10">
        <v>35.78</v>
      </c>
      <c r="AA25" s="10">
        <v>36.24</v>
      </c>
      <c r="AB25" s="95">
        <v>18154500</v>
      </c>
      <c r="AC25" s="10">
        <v>36.24</v>
      </c>
      <c r="AD25" s="2">
        <f t="shared" si="0"/>
        <v>0.60999999999999943</v>
      </c>
      <c r="AE25" s="138">
        <f t="shared" si="1"/>
        <v>8.0667593880390243E-3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42718</v>
      </c>
      <c r="X26" s="10">
        <v>36.299999999999997</v>
      </c>
      <c r="Y26" s="10">
        <v>36.78</v>
      </c>
      <c r="Z26" s="10">
        <v>35.93</v>
      </c>
      <c r="AA26" s="10">
        <v>35.950000000000003</v>
      </c>
      <c r="AB26" s="95">
        <v>19645800</v>
      </c>
      <c r="AC26" s="10">
        <v>35.950000000000003</v>
      </c>
      <c r="AD26" s="2">
        <f t="shared" si="0"/>
        <v>0.85000000000000142</v>
      </c>
      <c r="AE26" s="138">
        <f t="shared" si="1"/>
        <v>-3.7740899357601609E-2</v>
      </c>
    </row>
    <row r="27" spans="1:31" x14ac:dyDescent="0.25">
      <c r="W27" s="133">
        <v>42717</v>
      </c>
      <c r="X27" s="10">
        <v>37.15</v>
      </c>
      <c r="Y27" s="10">
        <v>37.44</v>
      </c>
      <c r="Z27" s="10">
        <v>36.950000000000003</v>
      </c>
      <c r="AA27" s="10">
        <v>37.36</v>
      </c>
      <c r="AB27" s="95">
        <v>8930200</v>
      </c>
      <c r="AC27" s="10">
        <v>37.36</v>
      </c>
      <c r="AD27" s="2">
        <f t="shared" si="0"/>
        <v>0.48999999999999488</v>
      </c>
      <c r="AE27" s="138">
        <f t="shared" si="1"/>
        <v>7.008086253369239E-3</v>
      </c>
    </row>
    <row r="28" spans="1:31" x14ac:dyDescent="0.25">
      <c r="W28" s="133">
        <v>42716</v>
      </c>
      <c r="X28" s="10">
        <v>37.51</v>
      </c>
      <c r="Y28" s="10">
        <v>37.74</v>
      </c>
      <c r="Z28" s="10">
        <v>37.01</v>
      </c>
      <c r="AA28" s="10">
        <v>37.1</v>
      </c>
      <c r="AB28" s="95">
        <v>15573400</v>
      </c>
      <c r="AC28" s="10">
        <v>37.1</v>
      </c>
      <c r="AD28" s="2">
        <f t="shared" si="0"/>
        <v>0.73000000000000398</v>
      </c>
      <c r="AE28" s="138">
        <f t="shared" si="1"/>
        <v>-1.4869888475836257E-2</v>
      </c>
    </row>
    <row r="29" spans="1:31" x14ac:dyDescent="0.25">
      <c r="L29" t="s">
        <v>214</v>
      </c>
      <c r="M29" s="2">
        <f>M47+K47-F47</f>
        <v>36.819999999999709</v>
      </c>
      <c r="W29" s="133">
        <v>42713</v>
      </c>
      <c r="X29" s="10">
        <v>36.409999999999997</v>
      </c>
      <c r="Y29" s="10">
        <v>37.68</v>
      </c>
      <c r="Z29" s="10">
        <v>36.409999999999997</v>
      </c>
      <c r="AA29" s="10">
        <v>37.659999999999997</v>
      </c>
      <c r="AB29" s="95">
        <v>26427100</v>
      </c>
      <c r="AC29" s="10">
        <v>37.659999999999997</v>
      </c>
      <c r="AD29" s="2">
        <f t="shared" si="0"/>
        <v>1.2700000000000031</v>
      </c>
      <c r="AE29" s="138">
        <f t="shared" si="1"/>
        <v>3.4047226798462171E-2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42712</v>
      </c>
      <c r="X30" s="10">
        <v>36.19</v>
      </c>
      <c r="Y30" s="10">
        <v>36.46</v>
      </c>
      <c r="Z30" s="10">
        <v>36.04</v>
      </c>
      <c r="AA30" s="10">
        <v>36.42</v>
      </c>
      <c r="AB30" s="95">
        <v>14442200</v>
      </c>
      <c r="AC30" s="10">
        <v>36.42</v>
      </c>
      <c r="AD30" s="2">
        <f t="shared" si="0"/>
        <v>0.42000000000000171</v>
      </c>
      <c r="AE30" s="138">
        <f t="shared" si="1"/>
        <v>3.3057851239670644E-3</v>
      </c>
    </row>
    <row r="31" spans="1:31" x14ac:dyDescent="0.25">
      <c r="A31" s="390" t="s">
        <v>56</v>
      </c>
      <c r="B31" s="657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42711</v>
      </c>
      <c r="X31" s="10">
        <v>35.18</v>
      </c>
      <c r="Y31" s="10">
        <v>36.54</v>
      </c>
      <c r="Z31" s="10">
        <v>35.090000000000003</v>
      </c>
      <c r="AA31" s="10">
        <v>36.299999999999997</v>
      </c>
      <c r="AB31" s="95">
        <v>26600700</v>
      </c>
      <c r="AC31" s="10">
        <v>36.299999999999997</v>
      </c>
      <c r="AD31" s="2">
        <f t="shared" si="0"/>
        <v>1.4499999999999957</v>
      </c>
      <c r="AE31" s="138">
        <f t="shared" si="1"/>
        <v>3.5072711719418281E-2</v>
      </c>
    </row>
    <row r="32" spans="1:31" x14ac:dyDescent="0.25">
      <c r="A32" s="391" t="s">
        <v>71</v>
      </c>
      <c r="B32" s="657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42710</v>
      </c>
      <c r="X32" s="10">
        <v>35.090000000000003</v>
      </c>
      <c r="Y32" s="10">
        <v>35.159999999999997</v>
      </c>
      <c r="Z32" s="10">
        <v>34.909999999999997</v>
      </c>
      <c r="AA32" s="10">
        <v>35.07</v>
      </c>
      <c r="AB32" s="95">
        <v>11786700</v>
      </c>
      <c r="AC32" s="10">
        <v>35.07</v>
      </c>
      <c r="AD32" s="2">
        <f t="shared" si="0"/>
        <v>0.25</v>
      </c>
      <c r="AE32" s="138">
        <f t="shared" si="1"/>
        <v>3.7206639954208143E-3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42709</v>
      </c>
      <c r="X33" s="10">
        <v>35.35</v>
      </c>
      <c r="Y33" s="10">
        <v>35.46</v>
      </c>
      <c r="Z33" s="10">
        <v>34.909999999999997</v>
      </c>
      <c r="AA33" s="10">
        <v>34.94</v>
      </c>
      <c r="AB33" s="95">
        <v>12440400</v>
      </c>
      <c r="AC33" s="10">
        <v>34.94</v>
      </c>
      <c r="AD33" s="2">
        <f t="shared" si="0"/>
        <v>0.55000000000000426</v>
      </c>
      <c r="AE33" s="138" t="e">
        <f t="shared" si="1"/>
        <v>#DIV/0!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42709</v>
      </c>
      <c r="X34" s="10" t="s">
        <v>189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42706</v>
      </c>
      <c r="X35" s="10">
        <v>36.25</v>
      </c>
      <c r="Y35" s="10">
        <v>36.299999999999997</v>
      </c>
      <c r="Z35" s="10">
        <v>35.299999999999997</v>
      </c>
      <c r="AA35" s="10">
        <v>35.409999999999997</v>
      </c>
      <c r="AB35" s="95">
        <v>22753400</v>
      </c>
      <c r="AC35" s="10">
        <v>35.03</v>
      </c>
      <c r="AD35" s="2">
        <f t="shared" si="0"/>
        <v>1</v>
      </c>
      <c r="AE35" s="138">
        <f t="shared" si="1"/>
        <v>-2.802441731409544E-2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42705</v>
      </c>
      <c r="X36" s="10">
        <v>34.81</v>
      </c>
      <c r="Y36" s="10">
        <v>36.659999999999997</v>
      </c>
      <c r="Z36" s="10">
        <v>34.79</v>
      </c>
      <c r="AA36" s="10">
        <v>36.43</v>
      </c>
      <c r="AB36" s="95">
        <v>37092300</v>
      </c>
      <c r="AC36" s="10">
        <v>36.04</v>
      </c>
      <c r="AD36" s="2">
        <f t="shared" si="0"/>
        <v>1.8699999999999974</v>
      </c>
      <c r="AE36" s="138">
        <f t="shared" si="1"/>
        <v>5.5035128805620781E-2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42704</v>
      </c>
      <c r="X37" s="10">
        <v>34.700000000000003</v>
      </c>
      <c r="Y37" s="10">
        <v>34.979999999999997</v>
      </c>
      <c r="Z37" s="10">
        <v>34.450000000000003</v>
      </c>
      <c r="AA37" s="10">
        <v>34.53</v>
      </c>
      <c r="AB37" s="95">
        <v>15681700</v>
      </c>
      <c r="AC37" s="10">
        <v>34.159999999999997</v>
      </c>
      <c r="AD37" s="2">
        <f t="shared" si="0"/>
        <v>0.52999999999999403</v>
      </c>
      <c r="AE37" s="138">
        <f t="shared" si="1"/>
        <v>-1.1695906432750425E-3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42703</v>
      </c>
      <c r="X38" s="10">
        <v>34.03</v>
      </c>
      <c r="Y38" s="10">
        <v>34.58</v>
      </c>
      <c r="Z38" s="10">
        <v>33.86</v>
      </c>
      <c r="AA38" s="10">
        <v>34.57</v>
      </c>
      <c r="AB38" s="95">
        <v>12610000</v>
      </c>
      <c r="AC38" s="10">
        <v>34.200000000000003</v>
      </c>
      <c r="AD38" s="2">
        <f t="shared" si="0"/>
        <v>0.71999999999999886</v>
      </c>
      <c r="AE38" s="138">
        <f t="shared" si="1"/>
        <v>1.5439429928741255E-2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42702</v>
      </c>
      <c r="X39" s="10">
        <v>34.35</v>
      </c>
      <c r="Y39" s="10">
        <v>34.380000000000003</v>
      </c>
      <c r="Z39" s="10">
        <v>33.96</v>
      </c>
      <c r="AA39" s="10">
        <v>34.049999999999997</v>
      </c>
      <c r="AB39" s="95">
        <v>11516600</v>
      </c>
      <c r="AC39" s="10">
        <v>33.68</v>
      </c>
      <c r="AD39" s="2">
        <f t="shared" si="0"/>
        <v>0.42000000000000171</v>
      </c>
      <c r="AE39" s="138">
        <f t="shared" si="1"/>
        <v>-5.9031877213696626E-3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34</v>
      </c>
      <c r="Y40" s="10">
        <v>34.32</v>
      </c>
      <c r="Z40" s="10">
        <v>33.93</v>
      </c>
      <c r="AA40" s="10">
        <v>34.25</v>
      </c>
      <c r="AB40" s="95">
        <v>5317700</v>
      </c>
      <c r="AC40" s="10">
        <v>33.880000000000003</v>
      </c>
      <c r="AD40" s="2">
        <f t="shared" si="0"/>
        <v>0.39000000000000057</v>
      </c>
      <c r="AE40" s="138">
        <f t="shared" si="1"/>
        <v>1.1343283582089692E-2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2" t="s">
        <v>78</v>
      </c>
      <c r="P41" s="632"/>
      <c r="W41" s="133">
        <v>42697</v>
      </c>
      <c r="X41" s="10">
        <v>33.74</v>
      </c>
      <c r="Y41" s="10">
        <v>33.99</v>
      </c>
      <c r="Z41" s="10">
        <v>33.69</v>
      </c>
      <c r="AA41" s="10">
        <v>33.86</v>
      </c>
      <c r="AB41" s="95">
        <v>8708800</v>
      </c>
      <c r="AC41" s="10">
        <v>33.5</v>
      </c>
      <c r="AD41" s="2">
        <f t="shared" si="0"/>
        <v>0.30000000000000426</v>
      </c>
      <c r="AE41" s="138">
        <f t="shared" si="1"/>
        <v>1.494768310911665E-3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40.710999999999999</v>
      </c>
      <c r="Q42" s="2"/>
      <c r="T42" s="91" t="s">
        <v>113</v>
      </c>
      <c r="W42" s="133">
        <v>42696</v>
      </c>
      <c r="X42" s="10">
        <v>32.82</v>
      </c>
      <c r="Y42" s="10">
        <v>33.82</v>
      </c>
      <c r="Z42" s="10">
        <v>32.770000000000003</v>
      </c>
      <c r="AA42" s="10">
        <v>33.81</v>
      </c>
      <c r="AB42" s="95">
        <v>12283800</v>
      </c>
      <c r="AC42" s="10">
        <v>33.450000000000003</v>
      </c>
      <c r="AD42" s="2">
        <f t="shared" si="0"/>
        <v>1.0499999999999972</v>
      </c>
      <c r="AE42" s="138">
        <f t="shared" si="1"/>
        <v>2.4188609920392068E-2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40.340899999999998</v>
      </c>
      <c r="Q43" s="2"/>
      <c r="T43" s="161" t="s">
        <v>98</v>
      </c>
      <c r="U43" s="161">
        <v>37.299999999999997</v>
      </c>
      <c r="W43" s="133">
        <v>42695</v>
      </c>
      <c r="X43" s="10">
        <v>33.229999999999997</v>
      </c>
      <c r="Y43" s="10">
        <v>33.28</v>
      </c>
      <c r="Z43" s="10">
        <v>32.979999999999997</v>
      </c>
      <c r="AA43" s="10">
        <v>33.01</v>
      </c>
      <c r="AB43" s="95">
        <v>11667100</v>
      </c>
      <c r="AC43" s="10">
        <v>32.659999999999997</v>
      </c>
      <c r="AD43" s="2">
        <f t="shared" si="0"/>
        <v>0.30000000000000426</v>
      </c>
      <c r="AE43" s="138">
        <f t="shared" si="1"/>
        <v>3.0627871362942649E-4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39.970799999999997</v>
      </c>
      <c r="Q44" s="2"/>
      <c r="T44" s="10" t="s">
        <v>99</v>
      </c>
      <c r="U44" s="10">
        <v>37.42</v>
      </c>
      <c r="W44" s="133">
        <v>42692</v>
      </c>
      <c r="X44" s="10">
        <v>33.4</v>
      </c>
      <c r="Y44" s="10">
        <v>33.42</v>
      </c>
      <c r="Z44" s="10">
        <v>32.96</v>
      </c>
      <c r="AA44" s="10">
        <v>33</v>
      </c>
      <c r="AB44" s="95">
        <v>8617200</v>
      </c>
      <c r="AC44" s="10">
        <v>32.65</v>
      </c>
      <c r="AD44" s="2">
        <f t="shared" si="0"/>
        <v>0.46000000000000085</v>
      </c>
      <c r="AE44" s="138">
        <f t="shared" si="1"/>
        <v>-1.2401693889897314E-2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39.600700000000003</v>
      </c>
      <c r="Q45" s="2"/>
      <c r="T45" s="10" t="s">
        <v>100</v>
      </c>
      <c r="U45" s="10" t="s">
        <v>129</v>
      </c>
      <c r="W45" s="133">
        <v>42691</v>
      </c>
      <c r="X45" s="10">
        <v>32.97</v>
      </c>
      <c r="Y45" s="10">
        <v>33.44</v>
      </c>
      <c r="Z45" s="10">
        <v>32.75</v>
      </c>
      <c r="AA45" s="10">
        <v>33.42</v>
      </c>
      <c r="AB45" s="95">
        <v>11728600</v>
      </c>
      <c r="AC45" s="10">
        <v>33.06</v>
      </c>
      <c r="AD45" s="2">
        <f t="shared" si="0"/>
        <v>0.68999999999999773</v>
      </c>
      <c r="AE45" s="138">
        <f t="shared" si="1"/>
        <v>5.7803468208093012E-3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39.230600000000003</v>
      </c>
      <c r="Q46" s="2"/>
      <c r="T46" s="10" t="s">
        <v>101</v>
      </c>
      <c r="U46" s="10" t="s">
        <v>129</v>
      </c>
      <c r="W46" s="133">
        <v>42690</v>
      </c>
      <c r="X46" s="10">
        <v>33.36</v>
      </c>
      <c r="Y46" s="10">
        <v>33.36</v>
      </c>
      <c r="Z46" s="10">
        <v>33.07</v>
      </c>
      <c r="AA46" s="10">
        <v>33.229999999999997</v>
      </c>
      <c r="AB46" s="95">
        <v>8821300</v>
      </c>
      <c r="AC46" s="10">
        <v>32.869999999999997</v>
      </c>
      <c r="AD46" s="2">
        <f t="shared" si="0"/>
        <v>0.28999999999999915</v>
      </c>
      <c r="AE46" s="138">
        <f t="shared" si="1"/>
        <v>-6.0477774417901919E-3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38.860500000000002</v>
      </c>
      <c r="Q47" s="2"/>
      <c r="T47" s="10" t="s">
        <v>102</v>
      </c>
      <c r="U47" s="10">
        <v>38.270000000000003</v>
      </c>
      <c r="W47" s="133">
        <v>42689</v>
      </c>
      <c r="X47" s="10">
        <v>33.299999999999997</v>
      </c>
      <c r="Y47" s="10">
        <v>33.6</v>
      </c>
      <c r="Z47" s="10">
        <v>33.1</v>
      </c>
      <c r="AA47" s="10">
        <v>33.43</v>
      </c>
      <c r="AB47" s="95">
        <v>10906600</v>
      </c>
      <c r="AC47" s="10">
        <v>33.07</v>
      </c>
      <c r="AD47" s="2">
        <f t="shared" si="0"/>
        <v>0.5</v>
      </c>
      <c r="AE47" s="138">
        <f t="shared" si="1"/>
        <v>4.5565006075334313E-3</v>
      </c>
    </row>
    <row r="48" spans="1:31" x14ac:dyDescent="0.25">
      <c r="O48" s="83">
        <v>1.04</v>
      </c>
      <c r="P48" s="83">
        <f t="shared" si="2"/>
        <v>38.490400000000001</v>
      </c>
      <c r="Q48" s="2"/>
      <c r="T48" s="10" t="s">
        <v>103</v>
      </c>
      <c r="U48" s="10">
        <v>1.67605</v>
      </c>
      <c r="W48" s="133">
        <v>42688</v>
      </c>
      <c r="X48" s="10">
        <v>33.9</v>
      </c>
      <c r="Y48" s="10">
        <v>34.42</v>
      </c>
      <c r="Z48" s="10">
        <v>33.049999999999997</v>
      </c>
      <c r="AA48" s="10">
        <v>33.28</v>
      </c>
      <c r="AB48" s="95">
        <v>20214700</v>
      </c>
      <c r="AC48" s="10">
        <v>32.92</v>
      </c>
      <c r="AD48" s="2">
        <f t="shared" si="0"/>
        <v>1.3700000000000045</v>
      </c>
      <c r="AE48" s="138">
        <f t="shared" si="1"/>
        <v>-2.1693907875185658E-2</v>
      </c>
    </row>
    <row r="49" spans="15:31" x14ac:dyDescent="0.25">
      <c r="O49" s="83">
        <v>1.03</v>
      </c>
      <c r="P49" s="83">
        <f t="shared" si="2"/>
        <v>38.1203</v>
      </c>
      <c r="Q49" s="2"/>
      <c r="T49" s="10" t="s">
        <v>104</v>
      </c>
      <c r="U49" s="10" t="s">
        <v>422</v>
      </c>
      <c r="W49" s="133">
        <v>42685</v>
      </c>
      <c r="X49" s="10">
        <v>32.49</v>
      </c>
      <c r="Y49" s="10">
        <v>34.28</v>
      </c>
      <c r="Z49" s="10">
        <v>32.380000000000003</v>
      </c>
      <c r="AA49" s="10">
        <v>34.020000000000003</v>
      </c>
      <c r="AB49" s="95">
        <v>32896900</v>
      </c>
      <c r="AC49" s="10">
        <v>33.65</v>
      </c>
      <c r="AD49" s="2">
        <f t="shared" si="0"/>
        <v>1.8999999999999986</v>
      </c>
      <c r="AE49" s="138">
        <f t="shared" si="1"/>
        <v>3.922174181593574E-2</v>
      </c>
    </row>
    <row r="50" spans="15:31" x14ac:dyDescent="0.25">
      <c r="O50" s="83">
        <v>1.02</v>
      </c>
      <c r="P50" s="83">
        <f t="shared" si="2"/>
        <v>37.7502</v>
      </c>
      <c r="Q50" s="2"/>
      <c r="T50" s="10"/>
      <c r="U50" s="10"/>
      <c r="W50" s="133">
        <v>42684</v>
      </c>
      <c r="X50" s="10">
        <v>30.93</v>
      </c>
      <c r="Y50" s="10">
        <v>32.83</v>
      </c>
      <c r="Z50" s="10">
        <v>30.91</v>
      </c>
      <c r="AA50" s="10">
        <v>32.729999999999997</v>
      </c>
      <c r="AB50" s="95">
        <v>27811100</v>
      </c>
      <c r="AC50" s="10">
        <v>32.380000000000003</v>
      </c>
      <c r="AD50" s="2">
        <f t="shared" si="0"/>
        <v>1.9199999999999982</v>
      </c>
      <c r="AE50" s="138">
        <f t="shared" si="1"/>
        <v>5.7133529219719259E-2</v>
      </c>
    </row>
    <row r="51" spans="15:31" x14ac:dyDescent="0.25">
      <c r="O51" s="83">
        <v>1.01</v>
      </c>
      <c r="P51" s="83">
        <f t="shared" si="2"/>
        <v>37.380099999999999</v>
      </c>
      <c r="Q51" s="2"/>
      <c r="T51" s="10" t="s">
        <v>105</v>
      </c>
      <c r="U51" s="10" t="s">
        <v>597</v>
      </c>
      <c r="W51" s="133">
        <v>42683</v>
      </c>
      <c r="X51" s="10">
        <v>30.91</v>
      </c>
      <c r="Y51" s="10">
        <v>31.15</v>
      </c>
      <c r="Z51" s="10">
        <v>30.21</v>
      </c>
      <c r="AA51" s="10">
        <v>30.96</v>
      </c>
      <c r="AB51" s="95">
        <v>38594400</v>
      </c>
      <c r="AC51" s="10">
        <v>30.63</v>
      </c>
      <c r="AD51" s="2">
        <f t="shared" si="0"/>
        <v>0.93999999999999773</v>
      </c>
      <c r="AE51" s="138">
        <f t="shared" si="1"/>
        <v>-2.4211532335138619E-2</v>
      </c>
    </row>
    <row r="52" spans="15:31" x14ac:dyDescent="0.25">
      <c r="O52" s="83">
        <v>1</v>
      </c>
      <c r="P52" s="83">
        <f t="shared" si="2"/>
        <v>37.01</v>
      </c>
      <c r="Q52" s="2"/>
      <c r="T52" s="10" t="s">
        <v>106</v>
      </c>
      <c r="U52" s="10" t="s">
        <v>423</v>
      </c>
      <c r="W52" s="133">
        <v>42682</v>
      </c>
      <c r="X52" s="10">
        <v>31.9</v>
      </c>
      <c r="Y52" s="10">
        <v>31.97</v>
      </c>
      <c r="Z52" s="10">
        <v>31.41</v>
      </c>
      <c r="AA52" s="10">
        <v>31.73</v>
      </c>
      <c r="AB52" s="95">
        <v>10357100</v>
      </c>
      <c r="AC52" s="10">
        <v>31.39</v>
      </c>
      <c r="AD52" s="2">
        <f t="shared" si="0"/>
        <v>0.55999999999999872</v>
      </c>
      <c r="AE52" s="138">
        <f t="shared" si="1"/>
        <v>-9.1540404040403311E-3</v>
      </c>
    </row>
    <row r="53" spans="15:31" x14ac:dyDescent="0.25">
      <c r="O53" s="83">
        <v>0.99</v>
      </c>
      <c r="P53" s="83">
        <f t="shared" si="2"/>
        <v>36.639899999999997</v>
      </c>
      <c r="Q53" s="2"/>
      <c r="T53" s="10" t="s">
        <v>107</v>
      </c>
      <c r="U53" s="95">
        <v>14001523</v>
      </c>
      <c r="W53" s="133">
        <v>42681</v>
      </c>
      <c r="X53" s="10">
        <v>31.58</v>
      </c>
      <c r="Y53" s="10">
        <v>32.15</v>
      </c>
      <c r="Z53" s="10">
        <v>31.54</v>
      </c>
      <c r="AA53" s="10">
        <v>32.020000000000003</v>
      </c>
      <c r="AB53" s="95">
        <v>13560200</v>
      </c>
      <c r="AC53" s="10">
        <v>31.68</v>
      </c>
      <c r="AD53" s="2">
        <f t="shared" si="0"/>
        <v>0.60999999999999943</v>
      </c>
      <c r="AE53" s="138">
        <f t="shared" si="1"/>
        <v>2.7570548167369591E-2</v>
      </c>
    </row>
    <row r="54" spans="15:31" x14ac:dyDescent="0.25">
      <c r="O54" s="83">
        <v>0.98</v>
      </c>
      <c r="P54" s="83">
        <f t="shared" si="2"/>
        <v>36.269799999999996</v>
      </c>
      <c r="Q54" s="2"/>
      <c r="T54" s="10" t="s">
        <v>110</v>
      </c>
      <c r="U54" s="95">
        <v>15238500</v>
      </c>
      <c r="W54" s="133">
        <v>42678</v>
      </c>
      <c r="X54" s="10">
        <v>31</v>
      </c>
      <c r="Y54" s="10">
        <v>31.54</v>
      </c>
      <c r="Z54" s="10">
        <v>30.94</v>
      </c>
      <c r="AA54" s="10">
        <v>31.16</v>
      </c>
      <c r="AB54" s="95">
        <v>12770800</v>
      </c>
      <c r="AC54" s="10">
        <v>30.83</v>
      </c>
      <c r="AD54" s="2">
        <f t="shared" si="0"/>
        <v>0.59999999999999787</v>
      </c>
      <c r="AE54" s="138">
        <f t="shared" si="1"/>
        <v>2.927781392322748E-3</v>
      </c>
    </row>
    <row r="55" spans="15:31" x14ac:dyDescent="0.25">
      <c r="O55" s="83">
        <v>0.97</v>
      </c>
      <c r="P55" s="83">
        <f t="shared" si="2"/>
        <v>35.899699999999996</v>
      </c>
      <c r="T55" s="10" t="s">
        <v>108</v>
      </c>
      <c r="U55" s="10" t="s">
        <v>598</v>
      </c>
      <c r="W55" s="133">
        <v>42677</v>
      </c>
      <c r="X55" s="10">
        <v>31.45</v>
      </c>
      <c r="Y55" s="10">
        <v>31.64</v>
      </c>
      <c r="Z55" s="10">
        <v>30.95</v>
      </c>
      <c r="AA55" s="10">
        <v>31.07</v>
      </c>
      <c r="AB55" s="95">
        <v>13720100</v>
      </c>
      <c r="AC55" s="10">
        <v>30.74</v>
      </c>
      <c r="AD55" s="2">
        <f t="shared" si="0"/>
        <v>0.69000000000000128</v>
      </c>
      <c r="AE55" s="138">
        <f t="shared" si="1"/>
        <v>-1.1893281902925157E-2</v>
      </c>
    </row>
    <row r="56" spans="15:31" x14ac:dyDescent="0.25">
      <c r="O56" s="83">
        <v>0.96</v>
      </c>
      <c r="P56" s="83">
        <f t="shared" si="2"/>
        <v>35.529599999999995</v>
      </c>
      <c r="T56" s="10" t="s">
        <v>111</v>
      </c>
      <c r="U56" s="10">
        <v>4.2300000000000004</v>
      </c>
      <c r="W56" s="133">
        <v>42676</v>
      </c>
      <c r="X56" s="10">
        <v>31.33</v>
      </c>
      <c r="Y56" s="10">
        <v>31.72</v>
      </c>
      <c r="Z56" s="10">
        <v>31.31</v>
      </c>
      <c r="AA56" s="10">
        <v>31.45</v>
      </c>
      <c r="AB56" s="95">
        <v>11763100</v>
      </c>
      <c r="AC56" s="10">
        <v>31.11</v>
      </c>
      <c r="AD56" s="2">
        <f t="shared" si="0"/>
        <v>0.41000000000000014</v>
      </c>
      <c r="AE56" s="138">
        <f t="shared" si="1"/>
        <v>-9.633911368015502E-4</v>
      </c>
    </row>
    <row r="57" spans="15:31" x14ac:dyDescent="0.25">
      <c r="O57" s="83">
        <v>0.95</v>
      </c>
      <c r="P57" s="83">
        <f t="shared" si="2"/>
        <v>35.159499999999994</v>
      </c>
      <c r="T57" s="10" t="s">
        <v>112</v>
      </c>
      <c r="U57" s="10">
        <v>8.76</v>
      </c>
      <c r="W57" s="133">
        <v>42675</v>
      </c>
      <c r="X57" s="10">
        <v>31.7</v>
      </c>
      <c r="Y57" s="10">
        <v>32.08</v>
      </c>
      <c r="Z57" s="10">
        <v>31.19</v>
      </c>
      <c r="AA57" s="10">
        <v>31.48</v>
      </c>
      <c r="AB57" s="95">
        <v>14668300</v>
      </c>
      <c r="AC57" s="10">
        <v>31.14</v>
      </c>
      <c r="AD57" s="2">
        <f t="shared" si="0"/>
        <v>0.88999999999999702</v>
      </c>
      <c r="AE57" s="138">
        <f t="shared" si="1"/>
        <v>-3.8387715930902067E-3</v>
      </c>
    </row>
    <row r="58" spans="15:31" x14ac:dyDescent="0.25">
      <c r="O58" s="83">
        <v>0.94</v>
      </c>
      <c r="P58" s="83">
        <f t="shared" si="2"/>
        <v>34.789399999999993</v>
      </c>
      <c r="T58" s="10" t="s">
        <v>109</v>
      </c>
      <c r="U58" s="10" t="s">
        <v>654</v>
      </c>
      <c r="W58" s="133">
        <v>42674</v>
      </c>
      <c r="X58" s="10">
        <v>31.42</v>
      </c>
      <c r="Y58" s="10">
        <v>31.65</v>
      </c>
      <c r="Z58" s="10">
        <v>31.35</v>
      </c>
      <c r="AA58" s="10">
        <v>31.6</v>
      </c>
      <c r="AB58" s="95">
        <v>7954100</v>
      </c>
      <c r="AC58" s="10">
        <v>31.26</v>
      </c>
      <c r="AD58" s="2">
        <f t="shared" si="0"/>
        <v>0.29999999999999716</v>
      </c>
      <c r="AE58" s="138">
        <f t="shared" si="1"/>
        <v>9.0380890897352462E-3</v>
      </c>
    </row>
    <row r="59" spans="15:31" x14ac:dyDescent="0.25">
      <c r="O59" s="83">
        <v>0.93</v>
      </c>
      <c r="P59" s="83">
        <f t="shared" si="2"/>
        <v>34.4193</v>
      </c>
      <c r="W59" s="133">
        <v>42671</v>
      </c>
      <c r="X59" s="10">
        <v>31.33</v>
      </c>
      <c r="Y59" s="10">
        <v>31.76</v>
      </c>
      <c r="Z59" s="10">
        <v>31.22</v>
      </c>
      <c r="AA59" s="10">
        <v>31.32</v>
      </c>
      <c r="AB59" s="95">
        <v>10571600</v>
      </c>
      <c r="AC59" s="10">
        <v>30.98</v>
      </c>
      <c r="AD59" s="2">
        <f t="shared" si="0"/>
        <v>0.5400000000000027</v>
      </c>
      <c r="AE59" s="138">
        <f t="shared" si="1"/>
        <v>-3.2268473701191347E-4</v>
      </c>
    </row>
    <row r="60" spans="15:31" x14ac:dyDescent="0.25">
      <c r="O60" s="83">
        <v>0.92</v>
      </c>
      <c r="P60" s="83">
        <f t="shared" si="2"/>
        <v>34.049199999999999</v>
      </c>
      <c r="W60" s="133">
        <v>42670</v>
      </c>
      <c r="X60" s="10">
        <v>31.75</v>
      </c>
      <c r="Y60" s="10">
        <v>31.78</v>
      </c>
      <c r="Z60" s="10">
        <v>31.19</v>
      </c>
      <c r="AA60" s="10">
        <v>31.33</v>
      </c>
      <c r="AB60" s="95">
        <v>20653600</v>
      </c>
      <c r="AC60" s="10">
        <v>30.99</v>
      </c>
      <c r="AD60" s="2">
        <f t="shared" si="0"/>
        <v>0.58999999999999986</v>
      </c>
      <c r="AE60" s="138">
        <f t="shared" si="1"/>
        <v>-8.0025608194622677E-3</v>
      </c>
    </row>
    <row r="61" spans="15:31" x14ac:dyDescent="0.25">
      <c r="O61" s="83">
        <v>0.91</v>
      </c>
      <c r="P61" s="83">
        <f t="shared" si="2"/>
        <v>33.679099999999998</v>
      </c>
      <c r="W61" s="133">
        <v>42669</v>
      </c>
      <c r="X61" s="10">
        <v>31.22</v>
      </c>
      <c r="Y61" s="10">
        <v>31.74</v>
      </c>
      <c r="Z61" s="10">
        <v>31.12</v>
      </c>
      <c r="AA61" s="10">
        <v>31.58</v>
      </c>
      <c r="AB61" s="95">
        <v>14955800</v>
      </c>
      <c r="AC61" s="10">
        <v>31.24</v>
      </c>
      <c r="AD61" s="2">
        <f t="shared" si="0"/>
        <v>0.61999999999999744</v>
      </c>
      <c r="AE61" s="138">
        <f t="shared" si="1"/>
        <v>-6.3979526551516397E-4</v>
      </c>
    </row>
    <row r="62" spans="15:31" x14ac:dyDescent="0.25">
      <c r="O62" s="83">
        <v>0.9</v>
      </c>
      <c r="P62" s="83">
        <f t="shared" si="2"/>
        <v>33.308999999999997</v>
      </c>
      <c r="W62" s="133">
        <v>42668</v>
      </c>
      <c r="X62" s="10">
        <v>32.85</v>
      </c>
      <c r="Y62" s="10">
        <v>32.85</v>
      </c>
      <c r="Z62" s="10">
        <v>31.39</v>
      </c>
      <c r="AA62" s="10">
        <v>31.6</v>
      </c>
      <c r="AB62" s="95">
        <v>34069800</v>
      </c>
      <c r="AC62" s="10">
        <v>31.26</v>
      </c>
      <c r="AD62" s="2">
        <f t="shared" si="0"/>
        <v>1.4600000000000009</v>
      </c>
      <c r="AE62" s="138">
        <f t="shared" si="1"/>
        <v>-4.1985902543671516E-2</v>
      </c>
    </row>
    <row r="63" spans="15:31" x14ac:dyDescent="0.25">
      <c r="W63" s="133">
        <v>42667</v>
      </c>
      <c r="X63" s="10">
        <v>32.18</v>
      </c>
      <c r="Y63" s="10">
        <v>33.08</v>
      </c>
      <c r="Z63" s="10">
        <v>32.15</v>
      </c>
      <c r="AA63" s="10">
        <v>32.979999999999997</v>
      </c>
      <c r="AB63" s="95">
        <v>20232300</v>
      </c>
      <c r="AC63" s="10">
        <v>32.630000000000003</v>
      </c>
      <c r="AD63" s="2">
        <f t="shared" si="0"/>
        <v>0.92999999999999972</v>
      </c>
      <c r="AE63" s="138">
        <f t="shared" si="1"/>
        <v>2.9337539432176651E-2</v>
      </c>
    </row>
    <row r="64" spans="15:31" x14ac:dyDescent="0.25">
      <c r="W64" s="133">
        <v>42664</v>
      </c>
      <c r="X64" s="10">
        <v>31.58</v>
      </c>
      <c r="Y64" s="10">
        <v>32.17</v>
      </c>
      <c r="Z64" s="10">
        <v>31.48</v>
      </c>
      <c r="AA64" s="10">
        <v>32.04</v>
      </c>
      <c r="AB64" s="95">
        <v>11975700</v>
      </c>
      <c r="AC64" s="10">
        <v>31.7</v>
      </c>
      <c r="AD64" s="2">
        <f t="shared" si="0"/>
        <v>0.69000000000000128</v>
      </c>
      <c r="AE64" s="138">
        <f t="shared" si="1"/>
        <v>9.232728430436099E-3</v>
      </c>
    </row>
    <row r="65" spans="23:31" x14ac:dyDescent="0.25">
      <c r="W65" s="133">
        <v>42663</v>
      </c>
      <c r="X65" s="10">
        <v>31.78</v>
      </c>
      <c r="Y65" s="10">
        <v>31.86</v>
      </c>
      <c r="Z65" s="10">
        <v>31.39</v>
      </c>
      <c r="AA65" s="10">
        <v>31.75</v>
      </c>
      <c r="AB65" s="95">
        <v>8077600</v>
      </c>
      <c r="AC65" s="10">
        <v>31.41</v>
      </c>
      <c r="AD65" s="2">
        <f t="shared" si="0"/>
        <v>0.46999999999999886</v>
      </c>
      <c r="AE65" s="138">
        <f t="shared" si="1"/>
        <v>-3.1735956839099577E-3</v>
      </c>
    </row>
    <row r="66" spans="23:31" x14ac:dyDescent="0.25">
      <c r="W66" s="133">
        <v>42662</v>
      </c>
      <c r="X66" s="10">
        <v>31.54</v>
      </c>
      <c r="Y66" s="10">
        <v>31.98</v>
      </c>
      <c r="Z66" s="10">
        <v>31.48</v>
      </c>
      <c r="AA66" s="10">
        <v>31.85</v>
      </c>
      <c r="AB66" s="95">
        <v>9158600</v>
      </c>
      <c r="AC66" s="10">
        <v>31.51</v>
      </c>
      <c r="AD66" s="2">
        <f t="shared" si="0"/>
        <v>0.5</v>
      </c>
      <c r="AE66" s="138">
        <f t="shared" si="1"/>
        <v>1.4488087572440467E-2</v>
      </c>
    </row>
    <row r="67" spans="23:31" x14ac:dyDescent="0.25">
      <c r="W67" s="133">
        <v>42661</v>
      </c>
      <c r="X67" s="10">
        <v>31.83</v>
      </c>
      <c r="Y67" s="10">
        <v>31.88</v>
      </c>
      <c r="Z67" s="10">
        <v>31.19</v>
      </c>
      <c r="AA67" s="10">
        <v>31.4</v>
      </c>
      <c r="AB67" s="95">
        <v>7973300</v>
      </c>
      <c r="AC67" s="10">
        <v>31.06</v>
      </c>
      <c r="AD67" s="2">
        <f>Y67-Z67</f>
        <v>0.68999999999999773</v>
      </c>
      <c r="AE67" s="138">
        <f>AC67/AC68-1</f>
        <v>-5.1249199231262477E-3</v>
      </c>
    </row>
    <row r="68" spans="23:31" x14ac:dyDescent="0.25">
      <c r="W68" s="133">
        <v>42660</v>
      </c>
      <c r="X68" s="10">
        <v>31.84</v>
      </c>
      <c r="Y68" s="10">
        <v>32.06</v>
      </c>
      <c r="Z68" s="10">
        <v>31.53</v>
      </c>
      <c r="AA68" s="10">
        <v>31.56</v>
      </c>
      <c r="AB68" s="95">
        <v>7476100</v>
      </c>
      <c r="AC68" s="10">
        <v>31.22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42755</v>
      </c>
      <c r="X2" s="10">
        <v>144.91</v>
      </c>
      <c r="Y2" s="10">
        <v>145.13999999999999</v>
      </c>
      <c r="Z2" s="10">
        <v>143.32</v>
      </c>
      <c r="AA2" s="10">
        <v>143.51</v>
      </c>
      <c r="AB2" s="95">
        <v>1710000</v>
      </c>
      <c r="AC2" s="10">
        <v>143.51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42754</v>
      </c>
      <c r="X3" s="10">
        <v>144.38</v>
      </c>
      <c r="Y3" s="10">
        <v>144.72</v>
      </c>
      <c r="Z3" s="10">
        <v>143.44</v>
      </c>
      <c r="AA3" s="10">
        <v>144.32</v>
      </c>
      <c r="AB3" s="95">
        <v>1435900</v>
      </c>
      <c r="AC3" s="10">
        <v>144.32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143.51</v>
      </c>
      <c r="R4" s="505">
        <v>-5.5999999999999999E-3</v>
      </c>
      <c r="W4" s="133">
        <v>42753</v>
      </c>
      <c r="X4" s="10">
        <v>145.84</v>
      </c>
      <c r="Y4" s="10">
        <v>146</v>
      </c>
      <c r="Z4" s="10">
        <v>143.56</v>
      </c>
      <c r="AA4" s="10">
        <v>144.66</v>
      </c>
      <c r="AB4" s="95">
        <v>1358400</v>
      </c>
      <c r="AC4" s="10">
        <v>144.66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2870.2</v>
      </c>
      <c r="W5" s="133">
        <v>42752</v>
      </c>
      <c r="X5" s="10">
        <v>145.66999999999999</v>
      </c>
      <c r="Y5" s="10">
        <v>145.87</v>
      </c>
      <c r="Z5" s="10">
        <v>144.55000000000001</v>
      </c>
      <c r="AA5" s="10">
        <v>145.05000000000001</v>
      </c>
      <c r="AB5" s="95">
        <v>1649300</v>
      </c>
      <c r="AC5" s="10">
        <v>145.05000000000001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42748</v>
      </c>
      <c r="X6" s="10">
        <v>146.09</v>
      </c>
      <c r="Y6" s="10">
        <v>147.03</v>
      </c>
      <c r="Z6" s="10">
        <v>145.52000000000001</v>
      </c>
      <c r="AA6" s="10">
        <v>146.29</v>
      </c>
      <c r="AB6" s="95">
        <v>1839600</v>
      </c>
      <c r="AC6" s="10">
        <v>146.29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247.06999999999994</v>
      </c>
      <c r="R7">
        <v>20</v>
      </c>
      <c r="W7" s="133">
        <v>42747</v>
      </c>
      <c r="X7" s="10">
        <v>146.18</v>
      </c>
      <c r="Y7" s="10">
        <v>146.99</v>
      </c>
      <c r="Z7" s="10">
        <v>145.13</v>
      </c>
      <c r="AA7" s="10">
        <v>145.97</v>
      </c>
      <c r="AB7" s="95">
        <v>2237300</v>
      </c>
      <c r="AC7" s="10">
        <v>145.97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75.599999999999909</v>
      </c>
      <c r="W8" s="133">
        <v>42746</v>
      </c>
      <c r="X8" s="10">
        <v>147.79</v>
      </c>
      <c r="Y8" s="10">
        <v>148.33000000000001</v>
      </c>
      <c r="Z8" s="10">
        <v>143.87</v>
      </c>
      <c r="AA8" s="10">
        <v>146.22</v>
      </c>
      <c r="AB8" s="95">
        <v>2760300</v>
      </c>
      <c r="AC8" s="10">
        <v>146.22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215</v>
      </c>
      <c r="Q9" s="138">
        <f>IF(Q2=0, 0, Q8/Q6)</f>
        <v>2.7052172046088854E-2</v>
      </c>
      <c r="W9" s="133">
        <v>42745</v>
      </c>
      <c r="X9" s="10">
        <v>147.80000000000001</v>
      </c>
      <c r="Y9" s="10">
        <v>149.32</v>
      </c>
      <c r="Z9" s="10">
        <v>147.30000000000001</v>
      </c>
      <c r="AA9" s="10">
        <v>147.78</v>
      </c>
      <c r="AB9" s="95">
        <v>1804700</v>
      </c>
      <c r="AC9" s="10">
        <v>147.78</v>
      </c>
      <c r="AD9" s="2"/>
      <c r="AE9" s="138"/>
    </row>
    <row r="10" spans="1:43" x14ac:dyDescent="0.25">
      <c r="O10" s="11" t="s">
        <v>214</v>
      </c>
      <c r="P10" s="34"/>
      <c r="Q10" s="2">
        <f>M34</f>
        <v>171.47000000000003</v>
      </c>
      <c r="W10" s="133">
        <v>42744</v>
      </c>
      <c r="X10" s="10">
        <v>147.01</v>
      </c>
      <c r="Y10" s="10">
        <v>148.63999999999999</v>
      </c>
      <c r="Z10" s="10">
        <v>147.01</v>
      </c>
      <c r="AA10" s="10">
        <v>147.49</v>
      </c>
      <c r="AB10" s="95">
        <v>1966300</v>
      </c>
      <c r="AC10" s="10">
        <v>147.49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42741</v>
      </c>
      <c r="X11" s="10">
        <v>145.28</v>
      </c>
      <c r="Y11" s="10">
        <v>147.49</v>
      </c>
      <c r="Z11" s="10">
        <v>145.13999999999999</v>
      </c>
      <c r="AA11" s="10">
        <v>147.27000000000001</v>
      </c>
      <c r="AB11" s="95">
        <v>1968500</v>
      </c>
      <c r="AC11" s="10">
        <v>147.27000000000001</v>
      </c>
      <c r="AD11" s="2"/>
      <c r="AE11" s="138"/>
    </row>
    <row r="12" spans="1:43" x14ac:dyDescent="0.25">
      <c r="W12" s="133">
        <v>42740</v>
      </c>
      <c r="X12" s="10">
        <v>145.38</v>
      </c>
      <c r="Y12" s="10">
        <v>145.77000000000001</v>
      </c>
      <c r="Z12" s="10">
        <v>144.78</v>
      </c>
      <c r="AA12" s="10">
        <v>145.38</v>
      </c>
      <c r="AB12" s="95">
        <v>1683500</v>
      </c>
      <c r="AC12" s="10">
        <v>145.38</v>
      </c>
      <c r="AD12" s="2"/>
      <c r="AE12" s="138"/>
    </row>
    <row r="13" spans="1:43" x14ac:dyDescent="0.25">
      <c r="W13" s="133">
        <v>42739</v>
      </c>
      <c r="X13" s="10">
        <v>143.94999999999999</v>
      </c>
      <c r="Y13" s="10">
        <v>146.06</v>
      </c>
      <c r="Z13" s="10">
        <v>143.29</v>
      </c>
      <c r="AA13" s="10">
        <v>145.16</v>
      </c>
      <c r="AB13" s="95">
        <v>2160500</v>
      </c>
      <c r="AC13" s="10">
        <v>145.16</v>
      </c>
      <c r="AD13" s="2"/>
      <c r="AE13" s="138"/>
    </row>
    <row r="14" spans="1:43" x14ac:dyDescent="0.25">
      <c r="W14" s="133">
        <v>42738</v>
      </c>
      <c r="X14" s="10">
        <v>142.38999999999999</v>
      </c>
      <c r="Y14" s="10">
        <v>143.83000000000001</v>
      </c>
      <c r="Z14" s="10">
        <v>142.22999999999999</v>
      </c>
      <c r="AA14" s="10">
        <v>143.66999999999999</v>
      </c>
      <c r="AB14" s="95">
        <v>1966400</v>
      </c>
      <c r="AC14" s="10">
        <v>143.66999999999999</v>
      </c>
      <c r="AD14" s="2"/>
      <c r="AE14" s="138"/>
    </row>
    <row r="15" spans="1:43" x14ac:dyDescent="0.25">
      <c r="W15" s="133">
        <v>42734</v>
      </c>
      <c r="X15" s="10">
        <v>142.16</v>
      </c>
      <c r="Y15" s="10">
        <v>142.34</v>
      </c>
      <c r="Z15" s="10">
        <v>140.44999999999999</v>
      </c>
      <c r="AA15" s="10">
        <v>141.1</v>
      </c>
      <c r="AB15" s="95">
        <v>1063200</v>
      </c>
      <c r="AC15" s="10">
        <v>141.1</v>
      </c>
      <c r="AD15" s="2"/>
      <c r="AE15" s="138"/>
    </row>
    <row r="16" spans="1:43" x14ac:dyDescent="0.25">
      <c r="W16" s="133">
        <v>42733</v>
      </c>
      <c r="X16" s="10">
        <v>141.01</v>
      </c>
      <c r="Y16" s="10">
        <v>142.38</v>
      </c>
      <c r="Z16" s="10">
        <v>141</v>
      </c>
      <c r="AA16" s="10">
        <v>141.47999999999999</v>
      </c>
      <c r="AB16" s="95">
        <v>767400</v>
      </c>
      <c r="AC16" s="10">
        <v>141.47999999999999</v>
      </c>
      <c r="AD16" s="2"/>
      <c r="AE16" s="138"/>
    </row>
    <row r="17" spans="1:31" x14ac:dyDescent="0.25">
      <c r="W17" s="133">
        <v>42732</v>
      </c>
      <c r="X17" s="10">
        <v>142.56</v>
      </c>
      <c r="Y17" s="10">
        <v>142.78</v>
      </c>
      <c r="Z17" s="10">
        <v>141.11000000000001</v>
      </c>
      <c r="AA17" s="10">
        <v>141.22</v>
      </c>
      <c r="AB17" s="95">
        <v>999700</v>
      </c>
      <c r="AC17" s="10">
        <v>141.22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42731</v>
      </c>
      <c r="X18" s="10">
        <v>142.16999999999999</v>
      </c>
      <c r="Y18" s="10">
        <v>143.19</v>
      </c>
      <c r="Z18" s="10">
        <v>141.87</v>
      </c>
      <c r="AA18" s="10">
        <v>142.41</v>
      </c>
      <c r="AB18" s="95">
        <v>878000</v>
      </c>
      <c r="AC18" s="10">
        <v>142.41</v>
      </c>
      <c r="AD18" s="2"/>
      <c r="AE18" s="138"/>
    </row>
    <row r="19" spans="1:31" x14ac:dyDescent="0.25">
      <c r="W19" s="133">
        <v>42727</v>
      </c>
      <c r="X19" s="10">
        <v>140.85</v>
      </c>
      <c r="Y19" s="10">
        <v>141.99</v>
      </c>
      <c r="Z19" s="10">
        <v>139.88</v>
      </c>
      <c r="AA19" s="10">
        <v>141.84</v>
      </c>
      <c r="AB19" s="95">
        <v>1044900</v>
      </c>
      <c r="AC19" s="10">
        <v>141.84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140.94999999999999</v>
      </c>
      <c r="Y20" s="10">
        <v>141.09</v>
      </c>
      <c r="Z20" s="10">
        <v>139.88</v>
      </c>
      <c r="AA20" s="10">
        <v>140.52000000000001</v>
      </c>
      <c r="AB20" s="95">
        <v>1191100</v>
      </c>
      <c r="AC20" s="10">
        <v>140.52000000000001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42725</v>
      </c>
      <c r="X21" s="10">
        <v>141.74</v>
      </c>
      <c r="Y21" s="10">
        <v>141.80000000000001</v>
      </c>
      <c r="Z21" s="10">
        <v>140.41999999999999</v>
      </c>
      <c r="AA21" s="10">
        <v>140.77000000000001</v>
      </c>
      <c r="AB21" s="95">
        <v>1502600</v>
      </c>
      <c r="AC21" s="10">
        <v>140.77000000000001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42724</v>
      </c>
      <c r="X22" s="10">
        <v>141.58000000000001</v>
      </c>
      <c r="Y22" s="10">
        <v>142.59</v>
      </c>
      <c r="Z22" s="10">
        <v>140.71</v>
      </c>
      <c r="AA22" s="10">
        <v>141.80000000000001</v>
      </c>
      <c r="AB22" s="95">
        <v>1871300</v>
      </c>
      <c r="AC22" s="10">
        <v>141.80000000000001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42723</v>
      </c>
      <c r="X23" s="10">
        <v>142.34</v>
      </c>
      <c r="Y23" s="10">
        <v>143.41</v>
      </c>
      <c r="Z23" s="10">
        <v>140.72</v>
      </c>
      <c r="AA23" s="10">
        <v>141.25</v>
      </c>
      <c r="AB23" s="95">
        <v>1591400</v>
      </c>
      <c r="AC23" s="10">
        <v>141.25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42720</v>
      </c>
      <c r="X24" s="10">
        <v>143.47999999999999</v>
      </c>
      <c r="Y24" s="10">
        <v>145.31</v>
      </c>
      <c r="Z24" s="10">
        <v>142.25</v>
      </c>
      <c r="AA24" s="10">
        <v>142.54</v>
      </c>
      <c r="AB24" s="95">
        <v>2710500</v>
      </c>
      <c r="AC24" s="10">
        <v>142.54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42719</v>
      </c>
      <c r="X25" s="10">
        <v>144</v>
      </c>
      <c r="Y25" s="10">
        <v>144.33000000000001</v>
      </c>
      <c r="Z25" s="10">
        <v>142.87</v>
      </c>
      <c r="AA25" s="10">
        <v>143.5</v>
      </c>
      <c r="AB25" s="95">
        <v>1849300</v>
      </c>
      <c r="AC25" s="10">
        <v>143.5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42718</v>
      </c>
      <c r="X26" s="10">
        <v>145.57</v>
      </c>
      <c r="Y26" s="10">
        <v>146.03</v>
      </c>
      <c r="Z26" s="10">
        <v>143.22999999999999</v>
      </c>
      <c r="AA26" s="10">
        <v>143.80000000000001</v>
      </c>
      <c r="AB26" s="95">
        <v>1657300</v>
      </c>
      <c r="AC26" s="10">
        <v>143.80000000000001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42717</v>
      </c>
      <c r="X27" s="10">
        <v>145.56</v>
      </c>
      <c r="Y27" s="10">
        <v>146.47999999999999</v>
      </c>
      <c r="Z27" s="10">
        <v>145.21</v>
      </c>
      <c r="AA27" s="10">
        <v>145.9</v>
      </c>
      <c r="AB27" s="95">
        <v>1254300</v>
      </c>
      <c r="AC27" s="10">
        <v>145.9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42717</v>
      </c>
      <c r="X28" s="10" t="s">
        <v>180</v>
      </c>
      <c r="Y28" s="10"/>
      <c r="Z28" s="10"/>
      <c r="AA28" s="10"/>
      <c r="AB28" s="95"/>
      <c r="AC28" s="10"/>
      <c r="AD28" s="2"/>
      <c r="AE28" s="138"/>
    </row>
    <row r="29" spans="1:31" x14ac:dyDescent="0.25">
      <c r="A29" t="s">
        <v>623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42716</v>
      </c>
      <c r="X29" s="10">
        <v>144.27000000000001</v>
      </c>
      <c r="Y29" s="10">
        <v>146.05000000000001</v>
      </c>
      <c r="Z29" s="10">
        <v>144.27000000000001</v>
      </c>
      <c r="AA29" s="10">
        <v>145.18</v>
      </c>
      <c r="AB29" s="95">
        <v>1390800</v>
      </c>
      <c r="AC29" s="10">
        <v>145.03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42713</v>
      </c>
      <c r="X30" s="10">
        <v>143.81</v>
      </c>
      <c r="Y30" s="10">
        <v>145.65</v>
      </c>
      <c r="Z30" s="10">
        <v>143.75</v>
      </c>
      <c r="AA30" s="10">
        <v>145.41</v>
      </c>
      <c r="AB30" s="95">
        <v>1620400</v>
      </c>
      <c r="AC30" s="10">
        <v>145.26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42712</v>
      </c>
      <c r="X31" s="10">
        <v>141.78</v>
      </c>
      <c r="Y31" s="10">
        <v>143.78</v>
      </c>
      <c r="Z31" s="10">
        <v>140.99</v>
      </c>
      <c r="AA31" s="10">
        <v>143.07</v>
      </c>
      <c r="AB31" s="95">
        <v>1819400</v>
      </c>
      <c r="AC31" s="10">
        <v>142.91999999999999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42711</v>
      </c>
      <c r="X32" s="10">
        <v>142.88</v>
      </c>
      <c r="Y32" s="10">
        <v>142.91999999999999</v>
      </c>
      <c r="Z32" s="10">
        <v>140.06</v>
      </c>
      <c r="AA32" s="10">
        <v>141.85</v>
      </c>
      <c r="AB32" s="95">
        <v>2413500</v>
      </c>
      <c r="AC32" s="10">
        <v>141.69999999999999</v>
      </c>
      <c r="AD32" s="2"/>
      <c r="AE32" s="138"/>
    </row>
    <row r="33" spans="1:31" x14ac:dyDescent="0.25">
      <c r="W33" s="133">
        <v>42710</v>
      </c>
      <c r="X33" s="10">
        <v>141.57</v>
      </c>
      <c r="Y33" s="10">
        <v>144.41999999999999</v>
      </c>
      <c r="Z33" s="10">
        <v>141.28</v>
      </c>
      <c r="AA33" s="10">
        <v>143.59</v>
      </c>
      <c r="AB33" s="95">
        <v>3759200</v>
      </c>
      <c r="AC33" s="10">
        <v>143.44</v>
      </c>
      <c r="AD33" s="2"/>
      <c r="AE33" s="138"/>
    </row>
    <row r="34" spans="1:31" x14ac:dyDescent="0.25">
      <c r="L34" t="s">
        <v>214</v>
      </c>
      <c r="M34" s="2">
        <f>M45+K45-F45</f>
        <v>171.47000000000003</v>
      </c>
      <c r="W34" s="133">
        <v>42709</v>
      </c>
      <c r="X34" s="10">
        <v>143.05000000000001</v>
      </c>
      <c r="Y34" s="10">
        <v>144.85</v>
      </c>
      <c r="Z34" s="10">
        <v>141.13999999999999</v>
      </c>
      <c r="AA34" s="10">
        <v>141.38</v>
      </c>
      <c r="AB34" s="95">
        <v>2920800</v>
      </c>
      <c r="AC34" s="10">
        <v>141.22999999999999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42706</v>
      </c>
      <c r="X35" s="10">
        <v>139.6</v>
      </c>
      <c r="Y35" s="10">
        <v>143.16</v>
      </c>
      <c r="Z35" s="10">
        <v>139.32</v>
      </c>
      <c r="AA35" s="10">
        <v>141.91</v>
      </c>
      <c r="AB35" s="95">
        <v>3166100</v>
      </c>
      <c r="AC35" s="10">
        <v>141.76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42705</v>
      </c>
      <c r="X36" s="10">
        <v>140.47</v>
      </c>
      <c r="Y36" s="10">
        <v>140.66</v>
      </c>
      <c r="Z36" s="10">
        <v>139.07</v>
      </c>
      <c r="AA36" s="10">
        <v>139.63</v>
      </c>
      <c r="AB36" s="95">
        <v>2703400</v>
      </c>
      <c r="AC36" s="10">
        <v>139.49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42704</v>
      </c>
      <c r="X37" s="10">
        <v>142.03</v>
      </c>
      <c r="Y37" s="10">
        <v>142.41999999999999</v>
      </c>
      <c r="Z37" s="10">
        <v>139.94</v>
      </c>
      <c r="AA37" s="10">
        <v>140.11000000000001</v>
      </c>
      <c r="AB37" s="95">
        <v>2166600</v>
      </c>
      <c r="AC37" s="10">
        <v>139.97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42703</v>
      </c>
      <c r="X38" s="10">
        <v>140.69999999999999</v>
      </c>
      <c r="Y38" s="10">
        <v>142</v>
      </c>
      <c r="Z38" s="10">
        <v>139.74</v>
      </c>
      <c r="AA38" s="10">
        <v>141.27000000000001</v>
      </c>
      <c r="AB38" s="95">
        <v>2576600</v>
      </c>
      <c r="AC38" s="10">
        <v>141.12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42702</v>
      </c>
      <c r="X39" s="10">
        <v>142.94</v>
      </c>
      <c r="Y39" s="10">
        <v>143.38</v>
      </c>
      <c r="Z39" s="10">
        <v>139.53</v>
      </c>
      <c r="AA39" s="10">
        <v>140.32</v>
      </c>
      <c r="AB39" s="95">
        <v>3667300</v>
      </c>
      <c r="AC39" s="10">
        <v>140.18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143.47</v>
      </c>
      <c r="Y40" s="10">
        <v>144.21</v>
      </c>
      <c r="Z40" s="10">
        <v>142.72</v>
      </c>
      <c r="AA40" s="10">
        <v>144.18</v>
      </c>
      <c r="AB40" s="95">
        <v>803900</v>
      </c>
      <c r="AC40" s="10">
        <v>144.03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42697</v>
      </c>
      <c r="X41" s="10">
        <v>142.1</v>
      </c>
      <c r="Y41" s="10">
        <v>143.61000000000001</v>
      </c>
      <c r="Z41" s="10">
        <v>141.46</v>
      </c>
      <c r="AA41" s="10">
        <v>143.51</v>
      </c>
      <c r="AB41" s="95">
        <v>2582700</v>
      </c>
      <c r="AC41" s="10">
        <v>143.36000000000001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42696</v>
      </c>
      <c r="X42" s="10">
        <v>146.55000000000001</v>
      </c>
      <c r="Y42" s="10">
        <v>146.55000000000001</v>
      </c>
      <c r="Z42" s="10">
        <v>141.75</v>
      </c>
      <c r="AA42" s="10">
        <v>143</v>
      </c>
      <c r="AB42" s="95">
        <v>3277500</v>
      </c>
      <c r="AC42" s="10">
        <v>142.85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144.32</v>
      </c>
      <c r="W43" s="133">
        <v>42695</v>
      </c>
      <c r="X43" s="10">
        <v>146.49</v>
      </c>
      <c r="Y43" s="10">
        <v>146.5</v>
      </c>
      <c r="Z43" s="10">
        <v>144.74</v>
      </c>
      <c r="AA43" s="10">
        <v>146.16999999999999</v>
      </c>
      <c r="AB43" s="95">
        <v>2975500</v>
      </c>
      <c r="AC43" s="10">
        <v>146.02000000000001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144.91</v>
      </c>
      <c r="W44" s="133">
        <v>42692</v>
      </c>
      <c r="X44" s="10">
        <v>148.77000000000001</v>
      </c>
      <c r="Y44" s="10">
        <v>149.19999999999999</v>
      </c>
      <c r="Z44" s="10">
        <v>145.63</v>
      </c>
      <c r="AA44" s="10">
        <v>145.81</v>
      </c>
      <c r="AB44" s="95">
        <v>2631700</v>
      </c>
      <c r="AC44" s="10">
        <v>145.66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2" t="s">
        <v>78</v>
      </c>
      <c r="P45" s="632"/>
      <c r="T45" s="93" t="s">
        <v>100</v>
      </c>
      <c r="U45" s="435" t="s">
        <v>129</v>
      </c>
      <c r="W45" s="133">
        <v>42691</v>
      </c>
      <c r="X45" s="10">
        <v>149.59</v>
      </c>
      <c r="Y45" s="10">
        <v>149.87</v>
      </c>
      <c r="Z45" s="10">
        <v>148.41999999999999</v>
      </c>
      <c r="AA45" s="10">
        <v>148.88</v>
      </c>
      <c r="AB45" s="95">
        <v>1552100</v>
      </c>
      <c r="AC45" s="10">
        <v>148.72999999999999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157.86099999999999</v>
      </c>
      <c r="Q46" s="2"/>
      <c r="T46" s="93" t="s">
        <v>101</v>
      </c>
      <c r="U46" s="435" t="s">
        <v>129</v>
      </c>
      <c r="W46" s="133">
        <v>42690</v>
      </c>
      <c r="X46" s="10">
        <v>148.88</v>
      </c>
      <c r="Y46" s="10">
        <v>150.12</v>
      </c>
      <c r="Z46" s="10">
        <v>148.63</v>
      </c>
      <c r="AA46" s="10">
        <v>149.49</v>
      </c>
      <c r="AB46" s="95">
        <v>1591500</v>
      </c>
      <c r="AC46" s="10">
        <v>149.34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156.42590000000001</v>
      </c>
      <c r="Q47" s="2"/>
      <c r="T47" s="93" t="s">
        <v>102</v>
      </c>
      <c r="U47" s="435">
        <v>172.42</v>
      </c>
      <c r="W47" s="133">
        <v>42689</v>
      </c>
      <c r="X47" s="10">
        <v>148.49</v>
      </c>
      <c r="Y47" s="10">
        <v>149.05000000000001</v>
      </c>
      <c r="Z47" s="10">
        <v>147.06</v>
      </c>
      <c r="AA47" s="10">
        <v>148.66</v>
      </c>
      <c r="AB47" s="95">
        <v>2114300</v>
      </c>
      <c r="AC47" s="10">
        <v>148.51</v>
      </c>
      <c r="AD47" s="2"/>
      <c r="AE47" s="138"/>
    </row>
    <row r="48" spans="1:31" x14ac:dyDescent="0.25">
      <c r="O48" s="83">
        <v>1.08</v>
      </c>
      <c r="P48" s="83">
        <f t="shared" si="0"/>
        <v>154.99080000000001</v>
      </c>
      <c r="Q48" s="2"/>
      <c r="T48" s="93" t="s">
        <v>103</v>
      </c>
      <c r="U48" s="435">
        <v>0.90248300000000004</v>
      </c>
      <c r="W48" s="133">
        <v>42688</v>
      </c>
      <c r="X48" s="10">
        <v>152.52000000000001</v>
      </c>
      <c r="Y48" s="10">
        <v>153.05000000000001</v>
      </c>
      <c r="Z48" s="10">
        <v>147.72999999999999</v>
      </c>
      <c r="AA48" s="10">
        <v>148.02000000000001</v>
      </c>
      <c r="AB48" s="95">
        <v>2517100</v>
      </c>
      <c r="AC48" s="10">
        <v>147.87</v>
      </c>
      <c r="AD48" s="2"/>
      <c r="AE48" s="138"/>
    </row>
    <row r="49" spans="15:31" x14ac:dyDescent="0.25">
      <c r="O49" s="83">
        <v>1.07</v>
      </c>
      <c r="P49" s="83">
        <f t="shared" si="0"/>
        <v>153.5557</v>
      </c>
      <c r="Q49" s="2"/>
      <c r="T49" s="93" t="s">
        <v>104</v>
      </c>
      <c r="U49" s="435" t="s">
        <v>416</v>
      </c>
      <c r="W49" s="133">
        <v>42685</v>
      </c>
      <c r="X49" s="10">
        <v>153.38999999999999</v>
      </c>
      <c r="Y49" s="10">
        <v>153.59</v>
      </c>
      <c r="Z49" s="10">
        <v>150.66</v>
      </c>
      <c r="AA49" s="10">
        <v>151.25</v>
      </c>
      <c r="AB49" s="95">
        <v>1766300</v>
      </c>
      <c r="AC49" s="10">
        <v>151.09</v>
      </c>
      <c r="AD49" s="2"/>
      <c r="AE49" s="138"/>
    </row>
    <row r="50" spans="15:31" x14ac:dyDescent="0.25">
      <c r="O50" s="83">
        <v>1.06</v>
      </c>
      <c r="P50" s="83">
        <f t="shared" si="0"/>
        <v>152.1206</v>
      </c>
      <c r="Q50" s="2"/>
      <c r="T50" s="93"/>
      <c r="U50" s="435"/>
      <c r="W50" s="133">
        <v>42684</v>
      </c>
      <c r="X50" s="10">
        <v>153.80000000000001</v>
      </c>
      <c r="Y50" s="10">
        <v>155.6</v>
      </c>
      <c r="Z50" s="10">
        <v>152.87</v>
      </c>
      <c r="AA50" s="10">
        <v>154.35</v>
      </c>
      <c r="AB50" s="95">
        <v>2247900</v>
      </c>
      <c r="AC50" s="10">
        <v>154.19</v>
      </c>
      <c r="AD50" s="2"/>
      <c r="AE50" s="138"/>
    </row>
    <row r="51" spans="15:31" x14ac:dyDescent="0.25">
      <c r="O51" s="83">
        <v>1.05</v>
      </c>
      <c r="P51" s="83">
        <f t="shared" si="0"/>
        <v>150.68549999999999</v>
      </c>
      <c r="Q51" s="2"/>
      <c r="T51" s="93" t="s">
        <v>105</v>
      </c>
      <c r="U51" s="435" t="s">
        <v>599</v>
      </c>
      <c r="W51" s="133">
        <v>42683</v>
      </c>
      <c r="X51" s="10">
        <v>154.63999999999999</v>
      </c>
      <c r="Y51" s="10">
        <v>157.02000000000001</v>
      </c>
      <c r="Z51" s="10">
        <v>149.44999999999999</v>
      </c>
      <c r="AA51" s="10">
        <v>152.05000000000001</v>
      </c>
      <c r="AB51" s="95">
        <v>2441500</v>
      </c>
      <c r="AC51" s="10">
        <v>151.88999999999999</v>
      </c>
      <c r="AD51" s="2"/>
      <c r="AE51" s="138"/>
    </row>
    <row r="52" spans="15:31" x14ac:dyDescent="0.25">
      <c r="O52" s="83">
        <v>1.04</v>
      </c>
      <c r="P52" s="83">
        <f t="shared" si="0"/>
        <v>149.25039999999998</v>
      </c>
      <c r="Q52" s="2"/>
      <c r="T52" s="93" t="s">
        <v>106</v>
      </c>
      <c r="U52" s="435" t="s">
        <v>308</v>
      </c>
      <c r="W52" s="133">
        <v>42682</v>
      </c>
      <c r="X52" s="10">
        <v>151.41</v>
      </c>
      <c r="Y52" s="10">
        <v>154.04</v>
      </c>
      <c r="Z52" s="10">
        <v>150.58000000000001</v>
      </c>
      <c r="AA52" s="10">
        <v>152.56</v>
      </c>
      <c r="AB52" s="95">
        <v>1620000</v>
      </c>
      <c r="AC52" s="10">
        <v>152.4</v>
      </c>
      <c r="AD52" s="2"/>
      <c r="AE52" s="138"/>
    </row>
    <row r="53" spans="15:31" x14ac:dyDescent="0.25">
      <c r="O53" s="83">
        <v>1.03</v>
      </c>
      <c r="P53" s="83">
        <f t="shared" si="0"/>
        <v>147.81530000000001</v>
      </c>
      <c r="Q53" s="2"/>
      <c r="T53" s="93" t="s">
        <v>107</v>
      </c>
      <c r="U53" s="436">
        <v>1750006</v>
      </c>
      <c r="W53" s="133">
        <v>42681</v>
      </c>
      <c r="X53" s="10">
        <v>148.88</v>
      </c>
      <c r="Y53" s="10">
        <v>152.38999999999999</v>
      </c>
      <c r="Z53" s="10">
        <v>148.16999999999999</v>
      </c>
      <c r="AA53" s="10">
        <v>151.81</v>
      </c>
      <c r="AB53" s="95">
        <v>2027200</v>
      </c>
      <c r="AC53" s="10">
        <v>151.65</v>
      </c>
      <c r="AD53" s="2"/>
      <c r="AE53" s="138"/>
    </row>
    <row r="54" spans="15:31" x14ac:dyDescent="0.25">
      <c r="O54" s="83">
        <v>1.02</v>
      </c>
      <c r="P54" s="83">
        <f t="shared" si="0"/>
        <v>146.3802</v>
      </c>
      <c r="Q54" s="2"/>
      <c r="T54" s="93" t="s">
        <v>110</v>
      </c>
      <c r="U54" s="436">
        <v>2012790</v>
      </c>
      <c r="W54" s="133">
        <v>42678</v>
      </c>
      <c r="X54" s="10">
        <v>146.21</v>
      </c>
      <c r="Y54" s="10">
        <v>147.68</v>
      </c>
      <c r="Z54" s="10">
        <v>146.21</v>
      </c>
      <c r="AA54" s="10">
        <v>146.57</v>
      </c>
      <c r="AB54" s="95">
        <v>1365700</v>
      </c>
      <c r="AC54" s="10">
        <v>146.41999999999999</v>
      </c>
      <c r="AD54" s="2"/>
      <c r="AE54" s="138"/>
    </row>
    <row r="55" spans="15:31" x14ac:dyDescent="0.25">
      <c r="O55" s="83">
        <v>1.01</v>
      </c>
      <c r="P55" s="83">
        <f t="shared" si="0"/>
        <v>144.9451</v>
      </c>
      <c r="Q55" s="2"/>
      <c r="T55" s="93" t="s">
        <v>108</v>
      </c>
      <c r="U55" s="435" t="s">
        <v>600</v>
      </c>
      <c r="W55" s="133">
        <v>42677</v>
      </c>
      <c r="X55" s="10">
        <v>145.83000000000001</v>
      </c>
      <c r="Y55" s="10">
        <v>146.85</v>
      </c>
      <c r="Z55" s="10">
        <v>145.69999999999999</v>
      </c>
      <c r="AA55" s="10">
        <v>146.08000000000001</v>
      </c>
      <c r="AB55" s="95">
        <v>1821200</v>
      </c>
      <c r="AC55" s="10">
        <v>145.93</v>
      </c>
      <c r="AD55" s="2"/>
      <c r="AE55" s="138"/>
    </row>
    <row r="56" spans="15:31" x14ac:dyDescent="0.25">
      <c r="O56" s="83">
        <v>1</v>
      </c>
      <c r="P56" s="83">
        <f t="shared" si="0"/>
        <v>143.51</v>
      </c>
      <c r="Q56" s="2"/>
      <c r="T56" s="93" t="s">
        <v>111</v>
      </c>
      <c r="U56" s="435">
        <v>28.68</v>
      </c>
      <c r="W56" s="133">
        <v>42676</v>
      </c>
      <c r="X56" s="10">
        <v>145.76</v>
      </c>
      <c r="Y56" s="10">
        <v>146.96</v>
      </c>
      <c r="Z56" s="10">
        <v>145.52000000000001</v>
      </c>
      <c r="AA56" s="10">
        <v>145.80000000000001</v>
      </c>
      <c r="AB56" s="95">
        <v>1791000</v>
      </c>
      <c r="AC56" s="10">
        <v>145.65</v>
      </c>
      <c r="AD56" s="2"/>
      <c r="AE56" s="138"/>
    </row>
    <row r="57" spans="15:31" x14ac:dyDescent="0.25">
      <c r="O57" s="83">
        <v>0.99</v>
      </c>
      <c r="P57" s="83">
        <f t="shared" si="0"/>
        <v>142.07489999999999</v>
      </c>
      <c r="Q57" s="2"/>
      <c r="T57" s="93" t="s">
        <v>112</v>
      </c>
      <c r="U57" s="435">
        <v>5</v>
      </c>
      <c r="W57" s="133">
        <v>42675</v>
      </c>
      <c r="X57" s="10">
        <v>148</v>
      </c>
      <c r="Y57" s="10">
        <v>148</v>
      </c>
      <c r="Z57" s="10">
        <v>144.34</v>
      </c>
      <c r="AA57" s="10">
        <v>146.02000000000001</v>
      </c>
      <c r="AB57" s="95">
        <v>1900600</v>
      </c>
      <c r="AC57" s="10">
        <v>145.87</v>
      </c>
      <c r="AD57" s="2"/>
      <c r="AE57" s="138"/>
    </row>
    <row r="58" spans="15:31" x14ac:dyDescent="0.25">
      <c r="O58" s="83">
        <v>0.98</v>
      </c>
      <c r="P58" s="83">
        <f t="shared" si="0"/>
        <v>140.63979999999998</v>
      </c>
      <c r="Q58" s="2"/>
      <c r="T58" s="93" t="s">
        <v>109</v>
      </c>
      <c r="U58" s="435" t="s">
        <v>655</v>
      </c>
      <c r="W58" s="133">
        <v>42674</v>
      </c>
      <c r="X58" s="10">
        <v>147.44999999999999</v>
      </c>
      <c r="Y58" s="10">
        <v>148.41</v>
      </c>
      <c r="Z58" s="10">
        <v>146.96</v>
      </c>
      <c r="AA58" s="10">
        <v>147.03</v>
      </c>
      <c r="AB58" s="95">
        <v>1345800</v>
      </c>
      <c r="AC58" s="10">
        <v>146.88</v>
      </c>
      <c r="AD58" s="2"/>
      <c r="AE58" s="138"/>
    </row>
    <row r="59" spans="15:31" x14ac:dyDescent="0.25">
      <c r="O59" s="83">
        <v>0.97</v>
      </c>
      <c r="P59" s="83">
        <f t="shared" si="0"/>
        <v>139.20469999999997</v>
      </c>
      <c r="W59" s="133">
        <v>42671</v>
      </c>
      <c r="X59" s="10">
        <v>149.5</v>
      </c>
      <c r="Y59" s="10">
        <v>149.74</v>
      </c>
      <c r="Z59" s="10">
        <v>147.04</v>
      </c>
      <c r="AA59" s="10">
        <v>147.21</v>
      </c>
      <c r="AB59" s="95">
        <v>1805900</v>
      </c>
      <c r="AC59" s="10">
        <v>147.06</v>
      </c>
      <c r="AD59" s="2"/>
      <c r="AE59" s="138"/>
    </row>
    <row r="60" spans="15:31" x14ac:dyDescent="0.25">
      <c r="O60" s="83">
        <v>0.96</v>
      </c>
      <c r="P60" s="83">
        <f t="shared" si="0"/>
        <v>137.7696</v>
      </c>
      <c r="W60" s="133">
        <v>42670</v>
      </c>
      <c r="X60" s="10">
        <v>151.99</v>
      </c>
      <c r="Y60" s="10">
        <v>153.28</v>
      </c>
      <c r="Z60" s="10">
        <v>148.53</v>
      </c>
      <c r="AA60" s="10">
        <v>149.22</v>
      </c>
      <c r="AB60" s="95">
        <v>2999800</v>
      </c>
      <c r="AC60" s="10">
        <v>149.07</v>
      </c>
      <c r="AD60" s="2"/>
      <c r="AE60" s="138"/>
    </row>
    <row r="61" spans="15:31" x14ac:dyDescent="0.25">
      <c r="O61" s="83">
        <v>0.95</v>
      </c>
      <c r="P61" s="83">
        <f t="shared" si="0"/>
        <v>136.33449999999999</v>
      </c>
      <c r="W61" s="133">
        <v>42669</v>
      </c>
      <c r="X61" s="10">
        <v>147.16999999999999</v>
      </c>
      <c r="Y61" s="10">
        <v>148.13999999999999</v>
      </c>
      <c r="Z61" s="10">
        <v>146.15</v>
      </c>
      <c r="AA61" s="10">
        <v>148.04</v>
      </c>
      <c r="AB61" s="95">
        <v>3958100</v>
      </c>
      <c r="AC61" s="10">
        <v>147.88999999999999</v>
      </c>
      <c r="AD61" s="2"/>
      <c r="AE61" s="138"/>
    </row>
    <row r="62" spans="15:31" x14ac:dyDescent="0.25">
      <c r="O62" s="83">
        <v>0.94</v>
      </c>
      <c r="P62" s="83">
        <f t="shared" si="0"/>
        <v>134.89939999999999</v>
      </c>
      <c r="W62" s="133">
        <v>42668</v>
      </c>
      <c r="X62" s="10">
        <v>149.35</v>
      </c>
      <c r="Y62" s="10">
        <v>150.66</v>
      </c>
      <c r="Z62" s="10">
        <v>147.75</v>
      </c>
      <c r="AA62" s="10">
        <v>147.97</v>
      </c>
      <c r="AB62" s="95">
        <v>2431300</v>
      </c>
      <c r="AC62" s="10">
        <v>147.82</v>
      </c>
      <c r="AD62" s="2"/>
      <c r="AE62" s="138"/>
    </row>
    <row r="63" spans="15:31" x14ac:dyDescent="0.25">
      <c r="O63" s="83">
        <v>0.93</v>
      </c>
      <c r="P63" s="83">
        <f t="shared" si="0"/>
        <v>133.46430000000001</v>
      </c>
      <c r="W63" s="133">
        <v>42667</v>
      </c>
      <c r="X63" s="10">
        <v>151.72999999999999</v>
      </c>
      <c r="Y63" s="10">
        <v>153.4</v>
      </c>
      <c r="Z63" s="10">
        <v>150.96</v>
      </c>
      <c r="AA63" s="10">
        <v>153.11000000000001</v>
      </c>
      <c r="AB63" s="95">
        <v>2098500</v>
      </c>
      <c r="AC63" s="10">
        <v>152.94999999999999</v>
      </c>
      <c r="AD63" s="2"/>
      <c r="AE63" s="138"/>
    </row>
    <row r="64" spans="15:31" x14ac:dyDescent="0.25">
      <c r="O64" s="83">
        <v>0.92</v>
      </c>
      <c r="P64" s="83">
        <f t="shared" si="0"/>
        <v>132.0292</v>
      </c>
      <c r="W64" s="133">
        <v>42664</v>
      </c>
      <c r="X64" s="10">
        <v>150.69999999999999</v>
      </c>
      <c r="Y64" s="10">
        <v>150.79</v>
      </c>
      <c r="Z64" s="10">
        <v>149.76</v>
      </c>
      <c r="AA64" s="10">
        <v>150.66</v>
      </c>
      <c r="AB64" s="95">
        <v>1589500</v>
      </c>
      <c r="AC64" s="10">
        <v>150.5</v>
      </c>
      <c r="AD64" s="2"/>
      <c r="AE64" s="138"/>
    </row>
    <row r="65" spans="15:31" x14ac:dyDescent="0.25">
      <c r="O65" s="83">
        <v>0.91</v>
      </c>
      <c r="P65" s="83">
        <f t="shared" si="0"/>
        <v>130.5941</v>
      </c>
      <c r="W65" s="133">
        <v>42663</v>
      </c>
      <c r="X65" s="10">
        <v>151.81</v>
      </c>
      <c r="Y65" s="10">
        <v>152.12</v>
      </c>
      <c r="Z65" s="10">
        <v>151.09</v>
      </c>
      <c r="AA65" s="10">
        <v>151.66</v>
      </c>
      <c r="AB65" s="95">
        <v>2005200</v>
      </c>
      <c r="AC65" s="10">
        <v>151.5</v>
      </c>
      <c r="AD65" s="2"/>
      <c r="AE65" s="138"/>
    </row>
    <row r="66" spans="15:31" x14ac:dyDescent="0.25">
      <c r="O66" s="83">
        <v>0.9</v>
      </c>
      <c r="P66" s="83">
        <f t="shared" si="0"/>
        <v>129.15899999999999</v>
      </c>
      <c r="W66" s="133">
        <v>42662</v>
      </c>
      <c r="X66" s="10">
        <v>151.11000000000001</v>
      </c>
      <c r="Y66" s="10">
        <v>152.03</v>
      </c>
      <c r="Z66" s="10">
        <v>151.01</v>
      </c>
      <c r="AA66" s="10">
        <v>151.80000000000001</v>
      </c>
      <c r="AB66" s="95">
        <v>1859500</v>
      </c>
      <c r="AC66" s="10">
        <v>151.63999999999999</v>
      </c>
      <c r="AD66" s="2"/>
      <c r="AE66" s="138"/>
    </row>
    <row r="67" spans="15:31" x14ac:dyDescent="0.25">
      <c r="W67" s="133">
        <v>42661</v>
      </c>
      <c r="X67" s="10">
        <v>152.19</v>
      </c>
      <c r="Y67" s="10">
        <v>152.32</v>
      </c>
      <c r="Z67" s="10">
        <v>151.06</v>
      </c>
      <c r="AA67" s="10">
        <v>151.66999999999999</v>
      </c>
      <c r="AB67" s="95">
        <v>1727300</v>
      </c>
      <c r="AC67" s="10">
        <v>151.51</v>
      </c>
      <c r="AD67" s="2"/>
      <c r="AE67" s="138"/>
    </row>
    <row r="68" spans="15:31" x14ac:dyDescent="0.25">
      <c r="W68" s="133">
        <v>42660</v>
      </c>
      <c r="X68" s="10">
        <v>151.85</v>
      </c>
      <c r="Y68" s="10">
        <v>151.85</v>
      </c>
      <c r="Z68" s="10">
        <v>150.30000000000001</v>
      </c>
      <c r="AA68" s="10">
        <v>150.78</v>
      </c>
      <c r="AB68" s="95">
        <v>1614000</v>
      </c>
      <c r="AC68" s="10">
        <v>150.62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0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0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29">
    <cfRule type="expression" dxfId="29" priority="3">
      <formula>F27&gt;0</formula>
    </cfRule>
    <cfRule type="expression" dxfId="28" priority="4">
      <formula>F27&lt;0</formula>
    </cfRule>
  </conditionalFormatting>
  <conditionalFormatting sqref="H27:H29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42755</v>
      </c>
      <c r="X2" s="10">
        <v>43.45</v>
      </c>
      <c r="Y2" s="10">
        <v>43.65</v>
      </c>
      <c r="Z2" s="10">
        <v>42.73</v>
      </c>
      <c r="AA2" s="10">
        <v>42.95</v>
      </c>
      <c r="AB2" s="95">
        <v>631400</v>
      </c>
      <c r="AC2" s="10">
        <v>42.95</v>
      </c>
      <c r="AD2" s="2">
        <f>Y2-Z2</f>
        <v>0.92000000000000171</v>
      </c>
      <c r="AE2" s="138">
        <f>AC2/AC3-1</f>
        <v>-9.2272202998846531E-3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42.95</v>
      </c>
      <c r="W3" s="133">
        <v>42754</v>
      </c>
      <c r="X3" s="10">
        <v>44.25</v>
      </c>
      <c r="Y3" s="10">
        <v>44.3</v>
      </c>
      <c r="Z3" s="10">
        <v>43.2</v>
      </c>
      <c r="AA3" s="10">
        <v>43.35</v>
      </c>
      <c r="AB3" s="95">
        <v>690500</v>
      </c>
      <c r="AC3" s="10">
        <v>43.35</v>
      </c>
      <c r="AD3" s="2">
        <f t="shared" ref="AD3:AD66" si="0">Y3-Z3</f>
        <v>1.0999999999999943</v>
      </c>
      <c r="AE3" s="138">
        <f t="shared" ref="AE3:AE66" si="1">AC3/AC4-1</f>
        <v>-1.1402508551881407E-2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42.95</v>
      </c>
      <c r="R4" s="505">
        <v>-9.1999999999999998E-3</v>
      </c>
      <c r="W4" s="133">
        <v>42753</v>
      </c>
      <c r="X4" s="10">
        <v>43.8</v>
      </c>
      <c r="Y4" s="10">
        <v>44.05</v>
      </c>
      <c r="Z4" s="10">
        <v>43.65</v>
      </c>
      <c r="AA4" s="10">
        <v>43.85</v>
      </c>
      <c r="AB4" s="95">
        <v>1013000</v>
      </c>
      <c r="AC4" s="10">
        <v>43.85</v>
      </c>
      <c r="AD4" s="2">
        <f t="shared" si="0"/>
        <v>0.39999999999999858</v>
      </c>
      <c r="AE4" s="138">
        <f t="shared" si="1"/>
        <v>1.1415525114155667E-3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43.85</v>
      </c>
      <c r="Y5" s="10">
        <v>44.2</v>
      </c>
      <c r="Z5" s="10">
        <v>43.55</v>
      </c>
      <c r="AA5" s="10">
        <v>43.8</v>
      </c>
      <c r="AB5" s="95">
        <v>1107200</v>
      </c>
      <c r="AC5" s="10">
        <v>43.8</v>
      </c>
      <c r="AD5" s="2">
        <f t="shared" si="0"/>
        <v>0.65000000000000568</v>
      </c>
      <c r="AE5" s="138">
        <f t="shared" si="1"/>
        <v>-9.0497737556561875E-3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43.1</v>
      </c>
      <c r="Y6" s="10">
        <v>44.55</v>
      </c>
      <c r="Z6" s="10">
        <v>43.05</v>
      </c>
      <c r="AA6" s="10">
        <v>44.2</v>
      </c>
      <c r="AB6" s="95">
        <v>832700</v>
      </c>
      <c r="AC6" s="10">
        <v>44.2</v>
      </c>
      <c r="AD6" s="2">
        <f t="shared" si="0"/>
        <v>1.5</v>
      </c>
      <c r="AE6" s="138">
        <f t="shared" si="1"/>
        <v>3.1505250875145885E-2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42747</v>
      </c>
      <c r="X7" s="10">
        <v>43.35</v>
      </c>
      <c r="Y7" s="10">
        <v>43.35</v>
      </c>
      <c r="Z7" s="10">
        <v>42.35</v>
      </c>
      <c r="AA7" s="10">
        <v>42.85</v>
      </c>
      <c r="AB7" s="95">
        <v>822500</v>
      </c>
      <c r="AC7" s="10">
        <v>42.85</v>
      </c>
      <c r="AD7" s="2">
        <f t="shared" si="0"/>
        <v>1</v>
      </c>
      <c r="AE7" s="138">
        <f t="shared" si="1"/>
        <v>-1.1534025374855816E-2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43.1</v>
      </c>
      <c r="Y8" s="10">
        <v>43.43</v>
      </c>
      <c r="Z8" s="10">
        <v>42.85</v>
      </c>
      <c r="AA8" s="10">
        <v>43.35</v>
      </c>
      <c r="AB8" s="95">
        <v>1160500</v>
      </c>
      <c r="AC8" s="10">
        <v>43.35</v>
      </c>
      <c r="AD8" s="2">
        <f t="shared" si="0"/>
        <v>0.57999999999999829</v>
      </c>
      <c r="AE8" s="138">
        <f t="shared" si="1"/>
        <v>2.3612750885478206E-2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41.8</v>
      </c>
      <c r="Y9" s="10">
        <v>42.45</v>
      </c>
      <c r="Z9" s="10">
        <v>41.2</v>
      </c>
      <c r="AA9" s="10">
        <v>42.35</v>
      </c>
      <c r="AB9" s="95">
        <v>1361300</v>
      </c>
      <c r="AC9" s="10">
        <v>42.35</v>
      </c>
      <c r="AD9" s="2">
        <f t="shared" si="0"/>
        <v>1.25</v>
      </c>
      <c r="AE9" s="138">
        <f t="shared" si="1"/>
        <v>1.8028846153846256E-2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M36</f>
        <v>529.88000000000284</v>
      </c>
      <c r="W10" s="133">
        <v>42744</v>
      </c>
      <c r="X10" s="10">
        <v>41.9</v>
      </c>
      <c r="Y10" s="10">
        <v>42.1</v>
      </c>
      <c r="Z10" s="10">
        <v>41.2</v>
      </c>
      <c r="AA10" s="10">
        <v>41.6</v>
      </c>
      <c r="AB10" s="95">
        <v>804900</v>
      </c>
      <c r="AC10" s="10">
        <v>41.6</v>
      </c>
      <c r="AD10" s="2">
        <f t="shared" si="0"/>
        <v>0.89999999999999858</v>
      </c>
      <c r="AE10" s="138">
        <f t="shared" si="1"/>
        <v>-1.3048635824436494E-2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2.4199999999999999E-2</v>
      </c>
      <c r="W11" s="133">
        <v>42741</v>
      </c>
      <c r="X11" s="10">
        <v>41.5</v>
      </c>
      <c r="Y11" s="10">
        <v>42.35</v>
      </c>
      <c r="Z11" s="10">
        <v>41.3</v>
      </c>
      <c r="AA11" s="10">
        <v>42.15</v>
      </c>
      <c r="AB11" s="95">
        <v>1147500</v>
      </c>
      <c r="AC11" s="10">
        <v>42.15</v>
      </c>
      <c r="AD11" s="2">
        <f t="shared" si="0"/>
        <v>1.0500000000000043</v>
      </c>
      <c r="AE11" s="138">
        <f t="shared" si="1"/>
        <v>1.5662650602409567E-2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42740</v>
      </c>
      <c r="X12" s="10">
        <v>41.55</v>
      </c>
      <c r="Y12" s="10">
        <v>42.15</v>
      </c>
      <c r="Z12" s="10">
        <v>40.950000000000003</v>
      </c>
      <c r="AA12" s="10">
        <v>41.5</v>
      </c>
      <c r="AB12" s="95">
        <v>719700</v>
      </c>
      <c r="AC12" s="10">
        <v>41.5</v>
      </c>
      <c r="AD12" s="2">
        <f t="shared" si="0"/>
        <v>1.1999999999999957</v>
      </c>
      <c r="AE12" s="138">
        <f t="shared" si="1"/>
        <v>1.2062726176114147E-3</v>
      </c>
    </row>
    <row r="13" spans="1:43" x14ac:dyDescent="0.25">
      <c r="W13" s="133">
        <v>42739</v>
      </c>
      <c r="X13" s="10">
        <v>41.05</v>
      </c>
      <c r="Y13" s="10">
        <v>41.75</v>
      </c>
      <c r="Z13" s="10">
        <v>40.9</v>
      </c>
      <c r="AA13" s="10">
        <v>41.45</v>
      </c>
      <c r="AB13" s="95">
        <v>1304000</v>
      </c>
      <c r="AC13" s="10">
        <v>41.45</v>
      </c>
      <c r="AD13" s="2">
        <f t="shared" si="0"/>
        <v>0.85000000000000142</v>
      </c>
      <c r="AE13" s="138">
        <f t="shared" si="1"/>
        <v>1.2210012210012167E-2</v>
      </c>
    </row>
    <row r="14" spans="1:43" x14ac:dyDescent="0.25">
      <c r="W14" s="133">
        <v>42738</v>
      </c>
      <c r="X14" s="10">
        <v>40.25</v>
      </c>
      <c r="Y14" s="10">
        <v>41.15</v>
      </c>
      <c r="Z14" s="10">
        <v>40.049999999999997</v>
      </c>
      <c r="AA14" s="10">
        <v>40.950000000000003</v>
      </c>
      <c r="AB14" s="95">
        <v>1053800</v>
      </c>
      <c r="AC14" s="10">
        <v>40.950000000000003</v>
      </c>
      <c r="AD14" s="2">
        <f t="shared" si="0"/>
        <v>1.1000000000000014</v>
      </c>
      <c r="AE14" s="138">
        <f t="shared" si="1"/>
        <v>3.1486146095717871E-2</v>
      </c>
    </row>
    <row r="15" spans="1:43" x14ac:dyDescent="0.25">
      <c r="W15" s="133">
        <v>42734</v>
      </c>
      <c r="X15" s="10">
        <v>40</v>
      </c>
      <c r="Y15" s="10">
        <v>40</v>
      </c>
      <c r="Z15" s="10">
        <v>39.4</v>
      </c>
      <c r="AA15" s="10">
        <v>39.700000000000003</v>
      </c>
      <c r="AB15" s="95">
        <v>412900</v>
      </c>
      <c r="AC15" s="10">
        <v>39.700000000000003</v>
      </c>
      <c r="AD15" s="2">
        <f t="shared" si="0"/>
        <v>0.60000000000000142</v>
      </c>
      <c r="AE15" s="138">
        <f t="shared" si="1"/>
        <v>-6.2578222778473247E-3</v>
      </c>
    </row>
    <row r="16" spans="1:43" x14ac:dyDescent="0.25">
      <c r="W16" s="133">
        <v>42733</v>
      </c>
      <c r="X16" s="10">
        <v>40.049999999999997</v>
      </c>
      <c r="Y16" s="10">
        <v>40.25</v>
      </c>
      <c r="Z16" s="10">
        <v>39.799999999999997</v>
      </c>
      <c r="AA16" s="10">
        <v>39.950000000000003</v>
      </c>
      <c r="AB16" s="95">
        <v>343300</v>
      </c>
      <c r="AC16" s="10">
        <v>39.950000000000003</v>
      </c>
      <c r="AD16" s="2">
        <f t="shared" si="0"/>
        <v>0.45000000000000284</v>
      </c>
      <c r="AE16" s="138">
        <f t="shared" si="1"/>
        <v>0</v>
      </c>
    </row>
    <row r="17" spans="1:31" x14ac:dyDescent="0.25">
      <c r="W17" s="133">
        <v>42732</v>
      </c>
      <c r="X17" s="10">
        <v>40.799999999999997</v>
      </c>
      <c r="Y17" s="10">
        <v>41.05</v>
      </c>
      <c r="Z17" s="10">
        <v>39.75</v>
      </c>
      <c r="AA17" s="10">
        <v>39.950000000000003</v>
      </c>
      <c r="AB17" s="95">
        <v>475700</v>
      </c>
      <c r="AC17" s="10">
        <v>39.950000000000003</v>
      </c>
      <c r="AD17" s="2">
        <f t="shared" si="0"/>
        <v>1.2999999999999972</v>
      </c>
      <c r="AE17" s="138">
        <f t="shared" si="1"/>
        <v>-1.7220172201721895E-2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42731</v>
      </c>
      <c r="X18" s="10">
        <v>40.799999999999997</v>
      </c>
      <c r="Y18" s="10">
        <v>41.15</v>
      </c>
      <c r="Z18" s="10">
        <v>40.479999999999997</v>
      </c>
      <c r="AA18" s="10">
        <v>40.65</v>
      </c>
      <c r="AB18" s="95">
        <v>439600</v>
      </c>
      <c r="AC18" s="10">
        <v>40.65</v>
      </c>
      <c r="AD18" s="2">
        <f t="shared" si="0"/>
        <v>0.67000000000000171</v>
      </c>
      <c r="AE18" s="138">
        <f t="shared" si="1"/>
        <v>0</v>
      </c>
    </row>
    <row r="19" spans="1:31" x14ac:dyDescent="0.25">
      <c r="W19" s="133">
        <v>42727</v>
      </c>
      <c r="X19" s="10">
        <v>40.6</v>
      </c>
      <c r="Y19" s="10">
        <v>40.799999999999997</v>
      </c>
      <c r="Z19" s="10">
        <v>40.35</v>
      </c>
      <c r="AA19" s="10">
        <v>40.65</v>
      </c>
      <c r="AB19" s="95">
        <v>244700</v>
      </c>
      <c r="AC19" s="10">
        <v>40.65</v>
      </c>
      <c r="AD19" s="2">
        <f t="shared" si="0"/>
        <v>0.44999999999999574</v>
      </c>
      <c r="AE19" s="138">
        <f t="shared" si="1"/>
        <v>2.4660912453762229E-3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40.65</v>
      </c>
      <c r="Y20" s="10">
        <v>40.700000000000003</v>
      </c>
      <c r="Z20" s="10">
        <v>40.299999999999997</v>
      </c>
      <c r="AA20" s="10">
        <v>40.549999999999997</v>
      </c>
      <c r="AB20" s="95">
        <v>476800</v>
      </c>
      <c r="AC20" s="10">
        <v>40.549999999999997</v>
      </c>
      <c r="AD20" s="2">
        <f t="shared" si="0"/>
        <v>0.40000000000000568</v>
      </c>
      <c r="AE20" s="138">
        <f t="shared" si="1"/>
        <v>-4.9079754601227821E-3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42725</v>
      </c>
      <c r="X21" s="10">
        <v>41</v>
      </c>
      <c r="Y21" s="10">
        <v>41.15</v>
      </c>
      <c r="Z21" s="10">
        <v>40.450000000000003</v>
      </c>
      <c r="AA21" s="10">
        <v>40.75</v>
      </c>
      <c r="AB21" s="95">
        <v>1286400</v>
      </c>
      <c r="AC21" s="10">
        <v>40.75</v>
      </c>
      <c r="AD21" s="2">
        <f t="shared" si="0"/>
        <v>0.69999999999999574</v>
      </c>
      <c r="AE21" s="138">
        <f t="shared" si="1"/>
        <v>-4.8840048840049777E-3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42724</v>
      </c>
      <c r="X22" s="10">
        <v>40.5</v>
      </c>
      <c r="Y22" s="10">
        <v>41.05</v>
      </c>
      <c r="Z22" s="10">
        <v>40.4</v>
      </c>
      <c r="AA22" s="10">
        <v>40.950000000000003</v>
      </c>
      <c r="AB22" s="95">
        <v>634400</v>
      </c>
      <c r="AC22" s="10">
        <v>40.950000000000003</v>
      </c>
      <c r="AD22" s="2">
        <f t="shared" si="0"/>
        <v>0.64999999999999858</v>
      </c>
      <c r="AE22" s="138">
        <f t="shared" si="1"/>
        <v>2.1197007481296826E-2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42723</v>
      </c>
      <c r="X23" s="10">
        <v>39.6</v>
      </c>
      <c r="Y23" s="10">
        <v>40.200000000000003</v>
      </c>
      <c r="Z23" s="10">
        <v>39.6</v>
      </c>
      <c r="AA23" s="10">
        <v>40.1</v>
      </c>
      <c r="AB23" s="95">
        <v>443300</v>
      </c>
      <c r="AC23" s="10">
        <v>40.1</v>
      </c>
      <c r="AD23" s="2">
        <f t="shared" si="0"/>
        <v>0.60000000000000142</v>
      </c>
      <c r="AE23" s="138">
        <f t="shared" si="1"/>
        <v>1.1349306431273742E-2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42720</v>
      </c>
      <c r="X24" s="10">
        <v>39.4</v>
      </c>
      <c r="Y24" s="10">
        <v>39.799999999999997</v>
      </c>
      <c r="Z24" s="10">
        <v>39.25</v>
      </c>
      <c r="AA24" s="10">
        <v>39.65</v>
      </c>
      <c r="AB24" s="95">
        <v>880600</v>
      </c>
      <c r="AC24" s="10">
        <v>39.65</v>
      </c>
      <c r="AD24" s="2">
        <f t="shared" si="0"/>
        <v>0.54999999999999716</v>
      </c>
      <c r="AE24" s="138">
        <f t="shared" si="1"/>
        <v>3.7974683544304E-3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42719</v>
      </c>
      <c r="X25" s="10">
        <v>39.299999999999997</v>
      </c>
      <c r="Y25" s="10">
        <v>40.08</v>
      </c>
      <c r="Z25" s="10">
        <v>39.200000000000003</v>
      </c>
      <c r="AA25" s="10">
        <v>39.5</v>
      </c>
      <c r="AB25" s="95">
        <v>285500</v>
      </c>
      <c r="AC25" s="10">
        <v>39.5</v>
      </c>
      <c r="AD25" s="2">
        <f t="shared" si="0"/>
        <v>0.87999999999999545</v>
      </c>
      <c r="AE25" s="138">
        <f t="shared" si="1"/>
        <v>2.5380710659899108E-3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42718</v>
      </c>
      <c r="X26" s="10">
        <v>40.049999999999997</v>
      </c>
      <c r="Y26" s="10">
        <v>40.549999999999997</v>
      </c>
      <c r="Z26" s="10">
        <v>39.35</v>
      </c>
      <c r="AA26" s="10">
        <v>39.4</v>
      </c>
      <c r="AB26" s="95">
        <v>548800</v>
      </c>
      <c r="AC26" s="10">
        <v>39.4</v>
      </c>
      <c r="AD26" s="2">
        <f t="shared" si="0"/>
        <v>1.1999999999999957</v>
      </c>
      <c r="AE26" s="138">
        <f t="shared" si="1"/>
        <v>-1.8679950186799466E-2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42717</v>
      </c>
      <c r="X27" s="10">
        <v>40.049999999999997</v>
      </c>
      <c r="Y27" s="10">
        <v>40.5</v>
      </c>
      <c r="Z27" s="10">
        <v>39.5</v>
      </c>
      <c r="AA27" s="10">
        <v>40.15</v>
      </c>
      <c r="AB27" s="95">
        <v>789100</v>
      </c>
      <c r="AC27" s="10">
        <v>40.15</v>
      </c>
      <c r="AD27" s="2">
        <f t="shared" si="0"/>
        <v>1</v>
      </c>
      <c r="AE27" s="138">
        <f t="shared" si="1"/>
        <v>7.5282308657464991E-3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42716</v>
      </c>
      <c r="X28" s="10">
        <v>39.25</v>
      </c>
      <c r="Y28" s="10">
        <v>39.9</v>
      </c>
      <c r="Z28" s="10">
        <v>38.9</v>
      </c>
      <c r="AA28" s="10">
        <v>39.85</v>
      </c>
      <c r="AB28" s="95">
        <v>706200</v>
      </c>
      <c r="AC28" s="10">
        <v>39.85</v>
      </c>
      <c r="AD28" s="2">
        <f t="shared" si="0"/>
        <v>1</v>
      </c>
      <c r="AE28" s="138">
        <f t="shared" si="1"/>
        <v>1.3994910941475869E-2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42713</v>
      </c>
      <c r="X29" s="10">
        <v>40.049999999999997</v>
      </c>
      <c r="Y29" s="10">
        <v>40.299999999999997</v>
      </c>
      <c r="Z29" s="10">
        <v>39.1</v>
      </c>
      <c r="AA29" s="10">
        <v>39.299999999999997</v>
      </c>
      <c r="AB29" s="95">
        <v>685500</v>
      </c>
      <c r="AC29" s="10">
        <v>39.299999999999997</v>
      </c>
      <c r="AD29" s="2">
        <f t="shared" si="0"/>
        <v>1.1999999999999957</v>
      </c>
      <c r="AE29" s="138">
        <f t="shared" si="1"/>
        <v>-2.2388059701492713E-2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42712</v>
      </c>
      <c r="X30" s="10">
        <v>39.6</v>
      </c>
      <c r="Y30" s="10">
        <v>40.35</v>
      </c>
      <c r="Z30" s="10">
        <v>39.1</v>
      </c>
      <c r="AA30" s="10">
        <v>40.200000000000003</v>
      </c>
      <c r="AB30" s="95">
        <v>633900</v>
      </c>
      <c r="AC30" s="10">
        <v>40.200000000000003</v>
      </c>
      <c r="AD30" s="2">
        <f t="shared" si="0"/>
        <v>1.25</v>
      </c>
      <c r="AE30" s="138">
        <f t="shared" si="1"/>
        <v>6.2578222778473247E-3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42711</v>
      </c>
      <c r="X31" s="10">
        <v>39.200000000000003</v>
      </c>
      <c r="Y31" s="10">
        <v>40.1</v>
      </c>
      <c r="Z31" s="10">
        <v>39</v>
      </c>
      <c r="AA31" s="10">
        <v>39.950000000000003</v>
      </c>
      <c r="AB31" s="95">
        <v>561000</v>
      </c>
      <c r="AC31" s="10">
        <v>39.950000000000003</v>
      </c>
      <c r="AD31" s="2">
        <f t="shared" si="0"/>
        <v>1.1000000000000014</v>
      </c>
      <c r="AE31" s="138">
        <f t="shared" si="1"/>
        <v>2.1739130434782705E-2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42710</v>
      </c>
      <c r="X32" s="10">
        <v>39</v>
      </c>
      <c r="Y32" s="10">
        <v>39.35</v>
      </c>
      <c r="Z32" s="10">
        <v>38.75</v>
      </c>
      <c r="AA32" s="10">
        <v>39.1</v>
      </c>
      <c r="AB32" s="95">
        <v>1335700</v>
      </c>
      <c r="AC32" s="10">
        <v>39.1</v>
      </c>
      <c r="AD32" s="2">
        <f t="shared" si="0"/>
        <v>0.60000000000000142</v>
      </c>
      <c r="AE32" s="138">
        <f t="shared" si="1"/>
        <v>-1.2771392081736277E-3</v>
      </c>
    </row>
    <row r="33" spans="1:31" x14ac:dyDescent="0.25">
      <c r="W33" s="133">
        <v>42709</v>
      </c>
      <c r="X33" s="10">
        <v>39.75</v>
      </c>
      <c r="Y33" s="10">
        <v>40.15</v>
      </c>
      <c r="Z33" s="10">
        <v>39.049999999999997</v>
      </c>
      <c r="AA33" s="10">
        <v>39.15</v>
      </c>
      <c r="AB33" s="95">
        <v>605000</v>
      </c>
      <c r="AC33" s="10">
        <v>39.15</v>
      </c>
      <c r="AD33" s="2">
        <f t="shared" si="0"/>
        <v>1.1000000000000014</v>
      </c>
      <c r="AE33" s="138">
        <f t="shared" si="1"/>
        <v>-7.6045627376426506E-3</v>
      </c>
    </row>
    <row r="34" spans="1:31" x14ac:dyDescent="0.25">
      <c r="W34" s="133">
        <v>42706</v>
      </c>
      <c r="X34" s="10">
        <v>39.1</v>
      </c>
      <c r="Y34" s="10">
        <v>39.58</v>
      </c>
      <c r="Z34" s="10">
        <v>38.85</v>
      </c>
      <c r="AA34" s="10">
        <v>39.450000000000003</v>
      </c>
      <c r="AB34" s="95">
        <v>635600</v>
      </c>
      <c r="AC34" s="10">
        <v>39.450000000000003</v>
      </c>
      <c r="AD34" s="2">
        <f t="shared" si="0"/>
        <v>0.72999999999999687</v>
      </c>
      <c r="AE34" s="138">
        <f t="shared" si="1"/>
        <v>8.9514066496163558E-3</v>
      </c>
    </row>
    <row r="35" spans="1:31" x14ac:dyDescent="0.25">
      <c r="W35" s="133">
        <v>42705</v>
      </c>
      <c r="X35" s="10">
        <v>39.4</v>
      </c>
      <c r="Y35" s="10">
        <v>40</v>
      </c>
      <c r="Z35" s="10">
        <v>39.03</v>
      </c>
      <c r="AA35" s="10">
        <v>39.1</v>
      </c>
      <c r="AB35" s="95">
        <v>1240200</v>
      </c>
      <c r="AC35" s="10">
        <v>39.1</v>
      </c>
      <c r="AD35" s="2">
        <f t="shared" si="0"/>
        <v>0.96999999999999886</v>
      </c>
      <c r="AE35" s="138">
        <f t="shared" si="1"/>
        <v>1.2804097311140961E-3</v>
      </c>
    </row>
    <row r="36" spans="1:31" x14ac:dyDescent="0.25">
      <c r="L36" t="s">
        <v>214</v>
      </c>
      <c r="M36" s="2">
        <f>M47+K47-F47</f>
        <v>529.88000000000284</v>
      </c>
      <c r="W36" s="133">
        <v>42704</v>
      </c>
      <c r="X36" s="10">
        <v>39.35</v>
      </c>
      <c r="Y36" s="10">
        <v>39.450000000000003</v>
      </c>
      <c r="Z36" s="10">
        <v>38.700000000000003</v>
      </c>
      <c r="AA36" s="10">
        <v>39.049999999999997</v>
      </c>
      <c r="AB36" s="95">
        <v>845100</v>
      </c>
      <c r="AC36" s="10">
        <v>39.049999999999997</v>
      </c>
      <c r="AD36" s="2">
        <f t="shared" si="0"/>
        <v>0.75</v>
      </c>
      <c r="AE36" s="138">
        <f t="shared" si="1"/>
        <v>1.0349288486416475E-2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42703</v>
      </c>
      <c r="X37" s="10">
        <v>39</v>
      </c>
      <c r="Y37" s="10">
        <v>39.25</v>
      </c>
      <c r="Z37" s="10">
        <v>38.6</v>
      </c>
      <c r="AA37" s="10">
        <v>38.65</v>
      </c>
      <c r="AB37" s="95">
        <v>209800</v>
      </c>
      <c r="AC37" s="10">
        <v>38.65</v>
      </c>
      <c r="AD37" s="2">
        <f t="shared" si="0"/>
        <v>0.64999999999999858</v>
      </c>
      <c r="AE37" s="138">
        <f t="shared" si="1"/>
        <v>-1.40306122448981E-2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42702</v>
      </c>
      <c r="X38" s="10">
        <v>39.549999999999997</v>
      </c>
      <c r="Y38" s="10">
        <v>39.700000000000003</v>
      </c>
      <c r="Z38" s="10">
        <v>39.049999999999997</v>
      </c>
      <c r="AA38" s="10">
        <v>39.200000000000003</v>
      </c>
      <c r="AB38" s="95">
        <v>399700</v>
      </c>
      <c r="AC38" s="10">
        <v>39.200000000000003</v>
      </c>
      <c r="AD38" s="2">
        <f t="shared" si="0"/>
        <v>0.65000000000000568</v>
      </c>
      <c r="AE38" s="138">
        <f t="shared" si="1"/>
        <v>-1.0101010101010055E-2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42699</v>
      </c>
      <c r="X39" s="10">
        <v>39.6</v>
      </c>
      <c r="Y39" s="10">
        <v>39.75</v>
      </c>
      <c r="Z39" s="10">
        <v>39.35</v>
      </c>
      <c r="AA39" s="10">
        <v>39.6</v>
      </c>
      <c r="AB39" s="95">
        <v>201400</v>
      </c>
      <c r="AC39" s="10">
        <v>39.6</v>
      </c>
      <c r="AD39" s="2">
        <f t="shared" si="0"/>
        <v>0.39999999999999858</v>
      </c>
      <c r="AE39" s="138">
        <f t="shared" si="1"/>
        <v>1.2642225031607168E-3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42697</v>
      </c>
      <c r="X40" s="10">
        <v>39.65</v>
      </c>
      <c r="Y40" s="10">
        <v>39.9</v>
      </c>
      <c r="Z40" s="10">
        <v>39.4</v>
      </c>
      <c r="AA40" s="10">
        <v>39.549999999999997</v>
      </c>
      <c r="AB40" s="95">
        <v>725800</v>
      </c>
      <c r="AC40" s="10">
        <v>39.549999999999997</v>
      </c>
      <c r="AD40" s="2">
        <f t="shared" si="0"/>
        <v>0.5</v>
      </c>
      <c r="AE40" s="138">
        <f t="shared" si="1"/>
        <v>-2.5220680958386588E-3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42696</v>
      </c>
      <c r="X41" s="10">
        <v>39</v>
      </c>
      <c r="Y41" s="10">
        <v>39.700000000000003</v>
      </c>
      <c r="Z41" s="10">
        <v>38.549999999999997</v>
      </c>
      <c r="AA41" s="10">
        <v>39.65</v>
      </c>
      <c r="AB41" s="95">
        <v>908100</v>
      </c>
      <c r="AC41" s="10">
        <v>39.65</v>
      </c>
      <c r="AD41" s="2">
        <f t="shared" si="0"/>
        <v>1.1500000000000057</v>
      </c>
      <c r="AE41" s="138">
        <f t="shared" si="1"/>
        <v>2.7202072538859978E-2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42695</v>
      </c>
      <c r="X42" s="10">
        <v>38.6</v>
      </c>
      <c r="Y42" s="10">
        <v>39.479999999999997</v>
      </c>
      <c r="Z42" s="10">
        <v>38.53</v>
      </c>
      <c r="AA42" s="10">
        <v>38.6</v>
      </c>
      <c r="AB42" s="95">
        <v>1120500</v>
      </c>
      <c r="AC42" s="10">
        <v>38.6</v>
      </c>
      <c r="AD42" s="2">
        <f t="shared" si="0"/>
        <v>0.94999999999999574</v>
      </c>
      <c r="AE42" s="138">
        <f t="shared" si="1"/>
        <v>9.1503267973855884E-3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47.245000000000005</v>
      </c>
      <c r="T43" s="93" t="s">
        <v>98</v>
      </c>
      <c r="U43" s="435">
        <v>43.35</v>
      </c>
      <c r="W43" s="133">
        <v>42692</v>
      </c>
      <c r="X43" s="10">
        <v>38.200000000000003</v>
      </c>
      <c r="Y43" s="10">
        <v>38.6</v>
      </c>
      <c r="Z43" s="10">
        <v>37.9</v>
      </c>
      <c r="AA43" s="10">
        <v>38.25</v>
      </c>
      <c r="AB43" s="95">
        <v>698700</v>
      </c>
      <c r="AC43" s="10">
        <v>38.25</v>
      </c>
      <c r="AD43" s="2">
        <f t="shared" si="0"/>
        <v>0.70000000000000284</v>
      </c>
      <c r="AE43" s="138" t="e">
        <f t="shared" si="1"/>
        <v>#DIV/0!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46.815500000000007</v>
      </c>
      <c r="T44" s="93" t="s">
        <v>99</v>
      </c>
      <c r="U44" s="435">
        <v>43.45</v>
      </c>
      <c r="W44" s="133">
        <v>42692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46.386000000000003</v>
      </c>
      <c r="T45" s="93" t="s">
        <v>100</v>
      </c>
      <c r="U45" s="435" t="s">
        <v>129</v>
      </c>
      <c r="W45" s="133">
        <v>42691</v>
      </c>
      <c r="X45" s="10">
        <v>38.15</v>
      </c>
      <c r="Y45" s="10">
        <v>38.700000000000003</v>
      </c>
      <c r="Z45" s="10">
        <v>37.799999999999997</v>
      </c>
      <c r="AA45" s="10">
        <v>38.6</v>
      </c>
      <c r="AB45" s="95">
        <v>642500</v>
      </c>
      <c r="AC45" s="10">
        <v>38.340000000000003</v>
      </c>
      <c r="AD45" s="2">
        <f t="shared" si="0"/>
        <v>0.90000000000000568</v>
      </c>
      <c r="AE45" s="138">
        <f t="shared" si="1"/>
        <v>-1.3024225058608785E-3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45.956500000000005</v>
      </c>
      <c r="Q46" s="2"/>
      <c r="T46" s="93" t="s">
        <v>101</v>
      </c>
      <c r="U46" s="435" t="s">
        <v>129</v>
      </c>
      <c r="W46" s="133">
        <v>42690</v>
      </c>
      <c r="X46" s="10">
        <v>39.25</v>
      </c>
      <c r="Y46" s="10">
        <v>39.4</v>
      </c>
      <c r="Z46" s="10">
        <v>38.15</v>
      </c>
      <c r="AA46" s="10">
        <v>38.65</v>
      </c>
      <c r="AB46" s="95">
        <v>607300</v>
      </c>
      <c r="AC46" s="10">
        <v>38.39</v>
      </c>
      <c r="AD46" s="2">
        <f t="shared" si="0"/>
        <v>1.25</v>
      </c>
      <c r="AE46" s="138">
        <f t="shared" si="1"/>
        <v>-2.5139664804469275E-2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45.527000000000008</v>
      </c>
      <c r="Q47" s="2"/>
      <c r="T47" s="93" t="s">
        <v>102</v>
      </c>
      <c r="U47" s="435">
        <v>41.33</v>
      </c>
      <c r="W47" s="133">
        <v>42689</v>
      </c>
      <c r="X47" s="10">
        <v>38.950000000000003</v>
      </c>
      <c r="Y47" s="10">
        <v>39.75</v>
      </c>
      <c r="Z47" s="10">
        <v>38.61</v>
      </c>
      <c r="AA47" s="10">
        <v>39.65</v>
      </c>
      <c r="AB47" s="95">
        <v>462700</v>
      </c>
      <c r="AC47" s="10">
        <v>39.380000000000003</v>
      </c>
      <c r="AD47" s="2">
        <f t="shared" si="0"/>
        <v>1.1400000000000006</v>
      </c>
      <c r="AE47" s="138">
        <f t="shared" si="1"/>
        <v>1.2599640010285462E-2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45.097500000000004</v>
      </c>
      <c r="Q48" s="2"/>
      <c r="T48" s="93" t="s">
        <v>103</v>
      </c>
      <c r="U48" s="435">
        <v>1.73112</v>
      </c>
      <c r="W48" s="133">
        <v>42688</v>
      </c>
      <c r="X48" s="10">
        <v>38.85</v>
      </c>
      <c r="Y48" s="10">
        <v>39.15</v>
      </c>
      <c r="Z48" s="10">
        <v>38.4</v>
      </c>
      <c r="AA48" s="10">
        <v>39.15</v>
      </c>
      <c r="AB48" s="95">
        <v>921500</v>
      </c>
      <c r="AC48" s="10">
        <v>38.89</v>
      </c>
      <c r="AD48" s="2">
        <f t="shared" si="0"/>
        <v>0.75</v>
      </c>
      <c r="AE48" s="138">
        <f t="shared" si="1"/>
        <v>1.9664394336654345E-2</v>
      </c>
    </row>
    <row r="49" spans="15:31" x14ac:dyDescent="0.25">
      <c r="O49" s="83">
        <v>1.04</v>
      </c>
      <c r="P49" s="83">
        <f t="shared" si="5"/>
        <v>44.668000000000006</v>
      </c>
      <c r="Q49" s="2"/>
      <c r="T49" s="93" t="s">
        <v>122</v>
      </c>
      <c r="U49" s="435" t="s">
        <v>330</v>
      </c>
      <c r="W49" s="133">
        <v>42685</v>
      </c>
      <c r="X49" s="10">
        <v>38.15</v>
      </c>
      <c r="Y49" s="10">
        <v>38.75</v>
      </c>
      <c r="Z49" s="10">
        <v>37.9</v>
      </c>
      <c r="AA49" s="10">
        <v>38.4</v>
      </c>
      <c r="AB49" s="95">
        <v>709600</v>
      </c>
      <c r="AC49" s="10">
        <v>38.14</v>
      </c>
      <c r="AD49" s="2">
        <f t="shared" si="0"/>
        <v>0.85000000000000142</v>
      </c>
      <c r="AE49" s="138">
        <f t="shared" si="1"/>
        <v>-1.3092432573971191E-3</v>
      </c>
    </row>
    <row r="50" spans="15:31" x14ac:dyDescent="0.25">
      <c r="O50" s="83">
        <v>1.03</v>
      </c>
      <c r="P50" s="83">
        <f t="shared" si="5"/>
        <v>44.238500000000002</v>
      </c>
      <c r="Q50" s="2"/>
      <c r="T50" s="93"/>
      <c r="U50" s="435"/>
      <c r="W50" s="133">
        <v>42684</v>
      </c>
      <c r="X50" s="10">
        <v>36.950000000000003</v>
      </c>
      <c r="Y50" s="10">
        <v>39</v>
      </c>
      <c r="Z50" s="10">
        <v>36.950000000000003</v>
      </c>
      <c r="AA50" s="10">
        <v>38.450000000000003</v>
      </c>
      <c r="AB50" s="95">
        <v>1365200</v>
      </c>
      <c r="AC50" s="10">
        <v>38.19</v>
      </c>
      <c r="AD50" s="2">
        <f t="shared" si="0"/>
        <v>2.0499999999999972</v>
      </c>
      <c r="AE50" s="138">
        <f t="shared" si="1"/>
        <v>4.6301369863013697E-2</v>
      </c>
    </row>
    <row r="51" spans="15:31" x14ac:dyDescent="0.25">
      <c r="O51" s="83">
        <v>1.02</v>
      </c>
      <c r="P51" s="83">
        <f t="shared" si="5"/>
        <v>43.809000000000005</v>
      </c>
      <c r="Q51" s="2"/>
      <c r="T51" s="93" t="s">
        <v>105</v>
      </c>
      <c r="U51" s="435" t="s">
        <v>601</v>
      </c>
      <c r="W51" s="133">
        <v>42683</v>
      </c>
      <c r="X51" s="10">
        <v>34.049999999999997</v>
      </c>
      <c r="Y51" s="10">
        <v>36.979999999999997</v>
      </c>
      <c r="Z51" s="10">
        <v>34.049999999999997</v>
      </c>
      <c r="AA51" s="10">
        <v>36.75</v>
      </c>
      <c r="AB51" s="95">
        <v>1006500</v>
      </c>
      <c r="AC51" s="10">
        <v>36.5</v>
      </c>
      <c r="AD51" s="2">
        <f t="shared" si="0"/>
        <v>2.9299999999999997</v>
      </c>
      <c r="AE51" s="138">
        <f t="shared" si="1"/>
        <v>8.2443653618030854E-2</v>
      </c>
    </row>
    <row r="52" spans="15:31" x14ac:dyDescent="0.25">
      <c r="O52" s="83">
        <v>1.01</v>
      </c>
      <c r="P52" s="83">
        <f t="shared" si="5"/>
        <v>43.3795</v>
      </c>
      <c r="Q52" s="2"/>
      <c r="T52" s="93" t="s">
        <v>106</v>
      </c>
      <c r="U52" s="435" t="s">
        <v>602</v>
      </c>
      <c r="W52" s="133">
        <v>42682</v>
      </c>
      <c r="X52" s="10">
        <v>33.799999999999997</v>
      </c>
      <c r="Y52" s="10">
        <v>34.5</v>
      </c>
      <c r="Z52" s="10">
        <v>33.6</v>
      </c>
      <c r="AA52" s="10">
        <v>33.950000000000003</v>
      </c>
      <c r="AB52" s="95">
        <v>906800</v>
      </c>
      <c r="AC52" s="10">
        <v>33.72</v>
      </c>
      <c r="AD52" s="2">
        <f t="shared" si="0"/>
        <v>0.89999999999999858</v>
      </c>
      <c r="AE52" s="138">
        <f t="shared" si="1"/>
        <v>5.966587112171684E-3</v>
      </c>
    </row>
    <row r="53" spans="15:31" x14ac:dyDescent="0.25">
      <c r="O53" s="83">
        <v>1</v>
      </c>
      <c r="P53" s="83">
        <f t="shared" si="5"/>
        <v>42.95</v>
      </c>
      <c r="Q53" s="2"/>
      <c r="T53" s="93" t="s">
        <v>107</v>
      </c>
      <c r="U53" s="436">
        <v>632948</v>
      </c>
      <c r="W53" s="133">
        <v>42681</v>
      </c>
      <c r="X53" s="10">
        <v>34.75</v>
      </c>
      <c r="Y53" s="10">
        <v>35.25</v>
      </c>
      <c r="Z53" s="10">
        <v>33.5</v>
      </c>
      <c r="AA53" s="10">
        <v>33.75</v>
      </c>
      <c r="AB53" s="95">
        <v>1068100</v>
      </c>
      <c r="AC53" s="10">
        <v>33.520000000000003</v>
      </c>
      <c r="AD53" s="2">
        <f t="shared" si="0"/>
        <v>1.75</v>
      </c>
      <c r="AE53" s="138">
        <f t="shared" si="1"/>
        <v>4.488778054862852E-2</v>
      </c>
    </row>
    <row r="54" spans="15:31" x14ac:dyDescent="0.25">
      <c r="O54" s="83">
        <v>0.99</v>
      </c>
      <c r="P54" s="83">
        <f t="shared" si="5"/>
        <v>42.520500000000006</v>
      </c>
      <c r="Q54" s="2"/>
      <c r="T54" s="93" t="s">
        <v>110</v>
      </c>
      <c r="U54" s="436">
        <v>761020</v>
      </c>
      <c r="W54" s="133">
        <v>42678</v>
      </c>
      <c r="X54" s="10">
        <v>31.9</v>
      </c>
      <c r="Y54" s="10">
        <v>32.75</v>
      </c>
      <c r="Z54" s="10">
        <v>31.9</v>
      </c>
      <c r="AA54" s="10">
        <v>32.299999999999997</v>
      </c>
      <c r="AB54" s="95">
        <v>432900</v>
      </c>
      <c r="AC54" s="10">
        <v>32.08</v>
      </c>
      <c r="AD54" s="2">
        <f t="shared" si="0"/>
        <v>0.85000000000000142</v>
      </c>
      <c r="AE54" s="138">
        <f t="shared" si="1"/>
        <v>9.4398993077406956E-3</v>
      </c>
    </row>
    <row r="55" spans="15:31" x14ac:dyDescent="0.25">
      <c r="O55" s="83">
        <v>0.98</v>
      </c>
      <c r="P55" s="83">
        <f t="shared" si="5"/>
        <v>42.091000000000001</v>
      </c>
      <c r="Q55" s="2"/>
      <c r="T55" s="93" t="s">
        <v>108</v>
      </c>
      <c r="U55" s="435" t="s">
        <v>603</v>
      </c>
      <c r="W55" s="133">
        <v>42677</v>
      </c>
      <c r="X55" s="10">
        <v>32.049999999999997</v>
      </c>
      <c r="Y55" s="10">
        <v>32.15</v>
      </c>
      <c r="Z55" s="10">
        <v>31.6</v>
      </c>
      <c r="AA55" s="10">
        <v>32</v>
      </c>
      <c r="AB55" s="95">
        <v>595400</v>
      </c>
      <c r="AC55" s="10">
        <v>31.78</v>
      </c>
      <c r="AD55" s="2">
        <f t="shared" si="0"/>
        <v>0.54999999999999716</v>
      </c>
      <c r="AE55" s="138">
        <f t="shared" si="1"/>
        <v>-1.5708451146716484E-3</v>
      </c>
    </row>
    <row r="56" spans="15:31" x14ac:dyDescent="0.25">
      <c r="O56" s="83">
        <v>0.97</v>
      </c>
      <c r="P56" s="83">
        <f t="shared" si="5"/>
        <v>41.661500000000004</v>
      </c>
      <c r="Q56" s="2"/>
      <c r="T56" s="93" t="s">
        <v>111</v>
      </c>
      <c r="U56" s="435">
        <v>37.06</v>
      </c>
      <c r="W56" s="133">
        <v>42676</v>
      </c>
      <c r="X56" s="10">
        <v>32.549999999999997</v>
      </c>
      <c r="Y56" s="10">
        <v>32.65</v>
      </c>
      <c r="Z56" s="10">
        <v>31.95</v>
      </c>
      <c r="AA56" s="10">
        <v>32.049999999999997</v>
      </c>
      <c r="AB56" s="95">
        <v>537400</v>
      </c>
      <c r="AC56" s="10">
        <v>31.83</v>
      </c>
      <c r="AD56" s="2">
        <f t="shared" si="0"/>
        <v>0.69999999999999929</v>
      </c>
      <c r="AE56" s="138">
        <f t="shared" si="1"/>
        <v>-1.6985793699814788E-2</v>
      </c>
    </row>
    <row r="57" spans="15:31" x14ac:dyDescent="0.25">
      <c r="O57" s="83">
        <v>0.96</v>
      </c>
      <c r="P57" s="83">
        <f t="shared" si="5"/>
        <v>41.231999999999999</v>
      </c>
      <c r="Q57" s="2"/>
      <c r="T57" s="93" t="s">
        <v>112</v>
      </c>
      <c r="U57" s="435">
        <v>1.1599999999999999</v>
      </c>
      <c r="W57" s="133">
        <v>42675</v>
      </c>
      <c r="X57" s="10">
        <v>33.4</v>
      </c>
      <c r="Y57" s="10">
        <v>33.4</v>
      </c>
      <c r="Z57" s="10">
        <v>32.450000000000003</v>
      </c>
      <c r="AA57" s="10">
        <v>32.6</v>
      </c>
      <c r="AB57" s="95">
        <v>504600</v>
      </c>
      <c r="AC57" s="10">
        <v>32.380000000000003</v>
      </c>
      <c r="AD57" s="2">
        <f t="shared" si="0"/>
        <v>0.94999999999999574</v>
      </c>
      <c r="AE57" s="138">
        <f t="shared" si="1"/>
        <v>-1.3706975327444249E-2</v>
      </c>
    </row>
    <row r="58" spans="15:31" x14ac:dyDescent="0.25">
      <c r="O58" s="83">
        <v>0.95</v>
      </c>
      <c r="P58" s="83">
        <f t="shared" si="5"/>
        <v>40.802500000000002</v>
      </c>
      <c r="Q58" s="2"/>
      <c r="T58" s="93" t="s">
        <v>109</v>
      </c>
      <c r="U58" s="435" t="s">
        <v>656</v>
      </c>
      <c r="W58" s="133">
        <v>42674</v>
      </c>
      <c r="X58" s="10">
        <v>33.15</v>
      </c>
      <c r="Y58" s="10">
        <v>33.450000000000003</v>
      </c>
      <c r="Z58" s="10">
        <v>32.979999999999997</v>
      </c>
      <c r="AA58" s="10">
        <v>33.049999999999997</v>
      </c>
      <c r="AB58" s="95">
        <v>667900</v>
      </c>
      <c r="AC58" s="10">
        <v>32.83</v>
      </c>
      <c r="AD58" s="2">
        <f t="shared" si="0"/>
        <v>0.47000000000000597</v>
      </c>
      <c r="AE58" s="138">
        <f t="shared" si="1"/>
        <v>2.1367521367521292E-3</v>
      </c>
    </row>
    <row r="59" spans="15:31" x14ac:dyDescent="0.25">
      <c r="O59" s="83">
        <v>0.94</v>
      </c>
      <c r="P59" s="83">
        <f t="shared" si="5"/>
        <v>40.372999999999998</v>
      </c>
      <c r="W59" s="133">
        <v>42671</v>
      </c>
      <c r="X59" s="10">
        <v>32.869999999999997</v>
      </c>
      <c r="Y59" s="10">
        <v>33.479999999999997</v>
      </c>
      <c r="Z59" s="10">
        <v>32.869999999999997</v>
      </c>
      <c r="AA59" s="10">
        <v>32.979999999999997</v>
      </c>
      <c r="AB59" s="95">
        <v>864900</v>
      </c>
      <c r="AC59" s="10">
        <v>32.76</v>
      </c>
      <c r="AD59" s="2">
        <f t="shared" si="0"/>
        <v>0.60999999999999943</v>
      </c>
      <c r="AE59" s="138">
        <f t="shared" si="1"/>
        <v>-6.6707095209217471E-3</v>
      </c>
    </row>
    <row r="60" spans="15:31" x14ac:dyDescent="0.25">
      <c r="O60" s="83">
        <v>0.93</v>
      </c>
      <c r="P60" s="83">
        <f t="shared" si="5"/>
        <v>39.943500000000007</v>
      </c>
      <c r="W60" s="133">
        <v>42670</v>
      </c>
      <c r="X60" s="10">
        <v>34.74</v>
      </c>
      <c r="Y60" s="10">
        <v>34.74</v>
      </c>
      <c r="Z60" s="10">
        <v>32.83</v>
      </c>
      <c r="AA60" s="10">
        <v>33.200000000000003</v>
      </c>
      <c r="AB60" s="95">
        <v>1290900</v>
      </c>
      <c r="AC60" s="10">
        <v>32.979999999999997</v>
      </c>
      <c r="AD60" s="2">
        <f t="shared" si="0"/>
        <v>1.9100000000000037</v>
      </c>
      <c r="AE60" s="138">
        <f t="shared" si="1"/>
        <v>-4.9841544223566792E-2</v>
      </c>
    </row>
    <row r="61" spans="15:31" x14ac:dyDescent="0.25">
      <c r="O61" s="83">
        <v>0.92</v>
      </c>
      <c r="P61" s="83">
        <f t="shared" si="5"/>
        <v>39.514000000000003</v>
      </c>
      <c r="W61" s="133">
        <v>42669</v>
      </c>
      <c r="X61" s="10">
        <v>34.35</v>
      </c>
      <c r="Y61" s="10">
        <v>35.33</v>
      </c>
      <c r="Z61" s="10">
        <v>34.35</v>
      </c>
      <c r="AA61" s="10">
        <v>34.950000000000003</v>
      </c>
      <c r="AB61" s="95">
        <v>997700</v>
      </c>
      <c r="AC61" s="10">
        <v>34.71</v>
      </c>
      <c r="AD61" s="2">
        <f t="shared" si="0"/>
        <v>0.97999999999999687</v>
      </c>
      <c r="AE61" s="138">
        <f t="shared" si="1"/>
        <v>1.0186263096624071E-2</v>
      </c>
    </row>
    <row r="62" spans="15:31" x14ac:dyDescent="0.25">
      <c r="O62" s="83">
        <v>0.91</v>
      </c>
      <c r="P62" s="83">
        <f t="shared" si="5"/>
        <v>39.084500000000006</v>
      </c>
      <c r="W62" s="133">
        <v>42668</v>
      </c>
      <c r="X62" s="10">
        <v>34.32</v>
      </c>
      <c r="Y62" s="10">
        <v>34.72</v>
      </c>
      <c r="Z62" s="10">
        <v>34.159999999999997</v>
      </c>
      <c r="AA62" s="10">
        <v>34.590000000000003</v>
      </c>
      <c r="AB62" s="95">
        <v>592800</v>
      </c>
      <c r="AC62" s="10">
        <v>34.36</v>
      </c>
      <c r="AD62" s="2">
        <f t="shared" si="0"/>
        <v>0.56000000000000227</v>
      </c>
      <c r="AE62" s="138">
        <f t="shared" si="1"/>
        <v>5.5604331284750952E-3</v>
      </c>
    </row>
    <row r="63" spans="15:31" x14ac:dyDescent="0.25">
      <c r="O63" s="83">
        <v>0.9</v>
      </c>
      <c r="P63" s="83">
        <f t="shared" si="5"/>
        <v>38.655000000000001</v>
      </c>
      <c r="W63" s="133">
        <v>42667</v>
      </c>
      <c r="X63" s="10">
        <v>34.950000000000003</v>
      </c>
      <c r="Y63" s="10">
        <v>35.11</v>
      </c>
      <c r="Z63" s="10">
        <v>34.19</v>
      </c>
      <c r="AA63" s="10">
        <v>34.4</v>
      </c>
      <c r="AB63" s="95">
        <v>423700</v>
      </c>
      <c r="AC63" s="10">
        <v>34.17</v>
      </c>
      <c r="AD63" s="2">
        <f t="shared" si="0"/>
        <v>0.92000000000000171</v>
      </c>
      <c r="AE63" s="138">
        <f t="shared" si="1"/>
        <v>-1.7528483786151128E-3</v>
      </c>
    </row>
    <row r="64" spans="15:31" x14ac:dyDescent="0.25">
      <c r="W64" s="133">
        <v>42664</v>
      </c>
      <c r="X64" s="10">
        <v>33.92</v>
      </c>
      <c r="Y64" s="10">
        <v>34.65</v>
      </c>
      <c r="Z64" s="10">
        <v>33.47</v>
      </c>
      <c r="AA64" s="10">
        <v>34.46</v>
      </c>
      <c r="AB64" s="95">
        <v>548300</v>
      </c>
      <c r="AC64" s="10">
        <v>34.229999999999997</v>
      </c>
      <c r="AD64" s="2">
        <f t="shared" si="0"/>
        <v>1.1799999999999997</v>
      </c>
      <c r="AE64" s="138">
        <f t="shared" si="1"/>
        <v>7.3572689817540393E-3</v>
      </c>
    </row>
    <row r="65" spans="23:31" x14ac:dyDescent="0.25">
      <c r="W65" s="133">
        <v>42663</v>
      </c>
      <c r="X65" s="10">
        <v>34.369999999999997</v>
      </c>
      <c r="Y65" s="10">
        <v>34.69</v>
      </c>
      <c r="Z65" s="10">
        <v>34.119999999999997</v>
      </c>
      <c r="AA65" s="10">
        <v>34.21</v>
      </c>
      <c r="AB65" s="95">
        <v>354700</v>
      </c>
      <c r="AC65" s="10">
        <v>33.979999999999997</v>
      </c>
      <c r="AD65" s="2">
        <f t="shared" si="0"/>
        <v>0.57000000000000028</v>
      </c>
      <c r="AE65" s="138">
        <f t="shared" si="1"/>
        <v>-1.1059371362048931E-2</v>
      </c>
    </row>
    <row r="66" spans="23:31" x14ac:dyDescent="0.25">
      <c r="W66" s="133">
        <v>42662</v>
      </c>
      <c r="X66" s="10">
        <v>34.729999999999997</v>
      </c>
      <c r="Y66" s="10">
        <v>34.75</v>
      </c>
      <c r="Z66" s="10">
        <v>34.14</v>
      </c>
      <c r="AA66" s="10">
        <v>34.590000000000003</v>
      </c>
      <c r="AB66" s="95">
        <v>743400</v>
      </c>
      <c r="AC66" s="10">
        <v>34.36</v>
      </c>
      <c r="AD66" s="2">
        <f t="shared" si="0"/>
        <v>0.60999999999999943</v>
      </c>
      <c r="AE66" s="138">
        <f t="shared" si="1"/>
        <v>-1.7431725740848503E-3</v>
      </c>
    </row>
    <row r="67" spans="23:31" x14ac:dyDescent="0.25">
      <c r="W67" s="133">
        <v>42661</v>
      </c>
      <c r="X67" s="10">
        <v>35.1</v>
      </c>
      <c r="Y67" s="10">
        <v>35.11</v>
      </c>
      <c r="Z67" s="10">
        <v>34.340000000000003</v>
      </c>
      <c r="AA67" s="10">
        <v>34.65</v>
      </c>
      <c r="AB67" s="95">
        <v>348700</v>
      </c>
      <c r="AC67" s="10">
        <v>34.42</v>
      </c>
      <c r="AD67" s="2">
        <f>Y67-Z67</f>
        <v>0.76999999999999602</v>
      </c>
      <c r="AE67" s="138">
        <f>AC67/AC68-1</f>
        <v>3.7911927675708945E-3</v>
      </c>
    </row>
    <row r="68" spans="23:31" x14ac:dyDescent="0.25">
      <c r="W68" s="133">
        <v>42660</v>
      </c>
      <c r="X68" s="10">
        <v>34.380000000000003</v>
      </c>
      <c r="Y68" s="10">
        <v>34.78</v>
      </c>
      <c r="Z68" s="10">
        <v>34.369999999999997</v>
      </c>
      <c r="AA68" s="10">
        <v>34.520000000000003</v>
      </c>
      <c r="AB68" s="95">
        <v>289600</v>
      </c>
      <c r="AC68" s="10">
        <v>34.29</v>
      </c>
      <c r="AD68" s="2">
        <f>Y68-Z68</f>
        <v>0.41000000000000369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42755</v>
      </c>
      <c r="X2" s="10">
        <v>110.95</v>
      </c>
      <c r="Y2" s="10">
        <v>111.1</v>
      </c>
      <c r="Z2" s="10">
        <v>110.03</v>
      </c>
      <c r="AA2" s="10">
        <v>110.79</v>
      </c>
      <c r="AB2" s="95">
        <v>2988800</v>
      </c>
      <c r="AC2" s="10">
        <v>110.79</v>
      </c>
      <c r="AD2" s="2">
        <f>Y2-Z2</f>
        <v>1.0699999999999932</v>
      </c>
      <c r="AE2" s="138">
        <f>AC2/AC3-1</f>
        <v>5.4185857491195755E-4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110.79</v>
      </c>
      <c r="W3" s="133">
        <v>42754</v>
      </c>
      <c r="X3" s="10">
        <v>111.03</v>
      </c>
      <c r="Y3" s="10">
        <v>111.6</v>
      </c>
      <c r="Z3" s="10">
        <v>110.02</v>
      </c>
      <c r="AA3" s="10">
        <v>110.73</v>
      </c>
      <c r="AB3" s="95">
        <v>2828200</v>
      </c>
      <c r="AC3" s="10">
        <v>110.73</v>
      </c>
      <c r="AD3" s="2">
        <f t="shared" ref="AD3:AD66" si="0">Y3-Z3</f>
        <v>1.5799999999999983</v>
      </c>
      <c r="AE3" s="138">
        <f t="shared" ref="AE3:AE66" si="1">AC3/AC4-1</f>
        <v>2.8074624162288675E-3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110.79</v>
      </c>
      <c r="R4" s="505">
        <v>5.0000000000000001E-4</v>
      </c>
      <c r="W4" s="133">
        <v>42753</v>
      </c>
      <c r="X4" s="10">
        <v>110.2</v>
      </c>
      <c r="Y4" s="10">
        <v>110.89</v>
      </c>
      <c r="Z4" s="10">
        <v>109.82</v>
      </c>
      <c r="AA4" s="10">
        <v>110.42</v>
      </c>
      <c r="AB4" s="95">
        <v>2600300</v>
      </c>
      <c r="AC4" s="10">
        <v>110.42</v>
      </c>
      <c r="AD4" s="2">
        <f t="shared" si="0"/>
        <v>1.0700000000000074</v>
      </c>
      <c r="AE4" s="138">
        <f t="shared" si="1"/>
        <v>4.0920250977538597E-3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109.78</v>
      </c>
      <c r="Y5" s="10">
        <v>110.27</v>
      </c>
      <c r="Z5" s="10">
        <v>109.4</v>
      </c>
      <c r="AA5" s="10">
        <v>109.97</v>
      </c>
      <c r="AB5" s="95">
        <v>2238500</v>
      </c>
      <c r="AC5" s="10">
        <v>109.97</v>
      </c>
      <c r="AD5" s="2">
        <f t="shared" si="0"/>
        <v>0.86999999999999034</v>
      </c>
      <c r="AE5" s="138">
        <f t="shared" si="1"/>
        <v>-2.2681908909454318E-3</v>
      </c>
    </row>
    <row r="6" spans="1:31" x14ac:dyDescent="0.25">
      <c r="O6" s="11" t="s">
        <v>64</v>
      </c>
      <c r="Q6" s="2">
        <f>Q3*Q2</f>
        <v>0</v>
      </c>
      <c r="W6" s="133">
        <v>42748</v>
      </c>
      <c r="X6" s="10">
        <v>110.93</v>
      </c>
      <c r="Y6" s="10">
        <v>111.26</v>
      </c>
      <c r="Z6" s="10">
        <v>109.85</v>
      </c>
      <c r="AA6" s="10">
        <v>110.22</v>
      </c>
      <c r="AB6" s="95">
        <v>2880600</v>
      </c>
      <c r="AC6" s="10">
        <v>110.22</v>
      </c>
      <c r="AD6" s="2">
        <f t="shared" si="0"/>
        <v>1.4100000000000108</v>
      </c>
      <c r="AE6" s="138">
        <f t="shared" si="1"/>
        <v>-5.4141851651325901E-3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42747</v>
      </c>
      <c r="X7" s="10">
        <v>111.14</v>
      </c>
      <c r="Y7" s="10">
        <v>111.14</v>
      </c>
      <c r="Z7" s="10">
        <v>109.71</v>
      </c>
      <c r="AA7" s="10">
        <v>110.82</v>
      </c>
      <c r="AB7" s="95">
        <v>2644600</v>
      </c>
      <c r="AC7" s="10">
        <v>110.82</v>
      </c>
      <c r="AD7" s="2">
        <f t="shared" si="0"/>
        <v>1.4300000000000068</v>
      </c>
      <c r="AE7" s="138">
        <f t="shared" si="1"/>
        <v>-1.6216216216217161E-3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111.62</v>
      </c>
      <c r="Y8" s="10">
        <v>111.62</v>
      </c>
      <c r="Z8" s="10">
        <v>110.58</v>
      </c>
      <c r="AA8" s="10">
        <v>111</v>
      </c>
      <c r="AB8" s="95">
        <v>2743900</v>
      </c>
      <c r="AC8" s="10">
        <v>111</v>
      </c>
      <c r="AD8" s="2">
        <f t="shared" si="0"/>
        <v>1.0400000000000063</v>
      </c>
      <c r="AE8" s="138">
        <f t="shared" si="1"/>
        <v>-2.3368685960812874E-3</v>
      </c>
    </row>
    <row r="9" spans="1:31" x14ac:dyDescent="0.25">
      <c r="O9" s="11" t="s">
        <v>215</v>
      </c>
      <c r="Q9" s="138">
        <f>IF(Q2=0, 0, Q8/Q6)</f>
        <v>0</v>
      </c>
      <c r="W9" s="133">
        <v>42745</v>
      </c>
      <c r="X9" s="10">
        <v>111.75</v>
      </c>
      <c r="Y9" s="10">
        <v>111.83</v>
      </c>
      <c r="Z9" s="10">
        <v>111.06</v>
      </c>
      <c r="AA9" s="10">
        <v>111.26</v>
      </c>
      <c r="AB9" s="95">
        <v>1800400</v>
      </c>
      <c r="AC9" s="10">
        <v>111.26</v>
      </c>
      <c r="AD9" s="2">
        <f t="shared" si="0"/>
        <v>0.76999999999999602</v>
      </c>
      <c r="AE9" s="138">
        <f t="shared" si="1"/>
        <v>-2.1524663677129352E-3</v>
      </c>
    </row>
    <row r="10" spans="1:31" x14ac:dyDescent="0.25">
      <c r="O10" s="11" t="s">
        <v>214</v>
      </c>
      <c r="P10" s="34"/>
      <c r="Q10" s="2">
        <f>M27</f>
        <v>114.84999999999991</v>
      </c>
      <c r="W10" s="133">
        <v>42744</v>
      </c>
      <c r="X10" s="10">
        <v>112.7</v>
      </c>
      <c r="Y10" s="10">
        <v>112.7</v>
      </c>
      <c r="Z10" s="10">
        <v>111.27</v>
      </c>
      <c r="AA10" s="10">
        <v>111.5</v>
      </c>
      <c r="AB10" s="95">
        <v>2434100</v>
      </c>
      <c r="AC10" s="10">
        <v>111.5</v>
      </c>
      <c r="AD10" s="2">
        <f t="shared" si="0"/>
        <v>1.4300000000000068</v>
      </c>
      <c r="AE10" s="138">
        <f t="shared" si="1"/>
        <v>-9.3291870279875733E-3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42741</v>
      </c>
      <c r="X11" s="10">
        <v>111.42</v>
      </c>
      <c r="Y11" s="10">
        <v>112.83</v>
      </c>
      <c r="Z11" s="10">
        <v>111.06</v>
      </c>
      <c r="AA11" s="10">
        <v>112.55</v>
      </c>
      <c r="AB11" s="95">
        <v>2622000</v>
      </c>
      <c r="AC11" s="10">
        <v>112.55</v>
      </c>
      <c r="AD11" s="2">
        <f t="shared" si="0"/>
        <v>1.769999999999996</v>
      </c>
      <c r="AE11" s="138">
        <f t="shared" si="1"/>
        <v>1.0776829815895894E-2</v>
      </c>
    </row>
    <row r="12" spans="1:31" x14ac:dyDescent="0.25">
      <c r="W12" s="133">
        <v>42740</v>
      </c>
      <c r="X12" s="10">
        <v>111.17</v>
      </c>
      <c r="Y12" s="10">
        <v>111.94</v>
      </c>
      <c r="Z12" s="10">
        <v>110.56</v>
      </c>
      <c r="AA12" s="10">
        <v>111.35</v>
      </c>
      <c r="AB12" s="95">
        <v>3064400</v>
      </c>
      <c r="AC12" s="10">
        <v>111.35</v>
      </c>
      <c r="AD12" s="2">
        <f t="shared" si="0"/>
        <v>1.3799999999999955</v>
      </c>
      <c r="AE12" s="138">
        <f t="shared" si="1"/>
        <v>4.0577096483316311E-3</v>
      </c>
    </row>
    <row r="13" spans="1:31" x14ac:dyDescent="0.25">
      <c r="W13" s="133">
        <v>42739</v>
      </c>
      <c r="X13" s="10">
        <v>111.46</v>
      </c>
      <c r="Y13" s="10">
        <v>111.7</v>
      </c>
      <c r="Z13" s="10">
        <v>110.58</v>
      </c>
      <c r="AA13" s="10">
        <v>110.9</v>
      </c>
      <c r="AB13" s="95">
        <v>3085000</v>
      </c>
      <c r="AC13" s="10">
        <v>110.9</v>
      </c>
      <c r="AD13" s="2">
        <f t="shared" si="0"/>
        <v>1.1200000000000045</v>
      </c>
      <c r="AE13" s="138">
        <f t="shared" si="1"/>
        <v>6.3159794279532555E-4</v>
      </c>
    </row>
    <row r="14" spans="1:31" x14ac:dyDescent="0.25">
      <c r="W14" s="133">
        <v>42738</v>
      </c>
      <c r="X14" s="10">
        <v>110.39</v>
      </c>
      <c r="Y14" s="10">
        <v>110.96</v>
      </c>
      <c r="Z14" s="10">
        <v>110</v>
      </c>
      <c r="AA14" s="10">
        <v>110.83</v>
      </c>
      <c r="AB14" s="95">
        <v>2738700</v>
      </c>
      <c r="AC14" s="10">
        <v>110.83</v>
      </c>
      <c r="AD14" s="2">
        <f t="shared" si="0"/>
        <v>0.95999999999999375</v>
      </c>
      <c r="AE14" s="138">
        <f t="shared" si="1"/>
        <v>1.1038131727786782E-2</v>
      </c>
    </row>
    <row r="15" spans="1:31" x14ac:dyDescent="0.25">
      <c r="W15" s="133">
        <v>42734</v>
      </c>
      <c r="X15" s="10">
        <v>110.59</v>
      </c>
      <c r="Y15" s="10">
        <v>110.79</v>
      </c>
      <c r="Z15" s="10">
        <v>109.38</v>
      </c>
      <c r="AA15" s="10">
        <v>109.62</v>
      </c>
      <c r="AB15" s="95">
        <v>2198600</v>
      </c>
      <c r="AC15" s="10">
        <v>109.62</v>
      </c>
      <c r="AD15" s="2">
        <f t="shared" si="0"/>
        <v>1.4100000000000108</v>
      </c>
      <c r="AE15" s="138">
        <f t="shared" si="1"/>
        <v>-8.4124830393486061E-3</v>
      </c>
    </row>
    <row r="16" spans="1:31" x14ac:dyDescent="0.25">
      <c r="W16" s="133">
        <v>42733</v>
      </c>
      <c r="X16" s="10">
        <v>110.28</v>
      </c>
      <c r="Y16" s="10">
        <v>110.82</v>
      </c>
      <c r="Z16" s="10">
        <v>110.03</v>
      </c>
      <c r="AA16" s="10">
        <v>110.55</v>
      </c>
      <c r="AB16" s="95">
        <v>2903600</v>
      </c>
      <c r="AC16" s="10">
        <v>110.55</v>
      </c>
      <c r="AD16" s="2">
        <f t="shared" si="0"/>
        <v>0.78999999999999204</v>
      </c>
      <c r="AE16" s="138">
        <f t="shared" si="1"/>
        <v>3.2670841274162754E-3</v>
      </c>
    </row>
    <row r="17" spans="1:31" x14ac:dyDescent="0.25">
      <c r="W17" s="133">
        <v>42732</v>
      </c>
      <c r="X17" s="10">
        <v>111</v>
      </c>
      <c r="Y17" s="10">
        <v>111.09</v>
      </c>
      <c r="Z17" s="10">
        <v>110.1</v>
      </c>
      <c r="AA17" s="10">
        <v>110.19</v>
      </c>
      <c r="AB17" s="95">
        <v>1864500</v>
      </c>
      <c r="AC17" s="10">
        <v>110.19</v>
      </c>
      <c r="AD17" s="2">
        <f t="shared" si="0"/>
        <v>0.99000000000000909</v>
      </c>
      <c r="AE17" s="138">
        <f t="shared" si="1"/>
        <v>-7.1183997116598396E-3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42731</v>
      </c>
      <c r="X18" s="10">
        <v>111.04</v>
      </c>
      <c r="Y18" s="10">
        <v>111.13</v>
      </c>
      <c r="Z18" s="10">
        <v>110.5</v>
      </c>
      <c r="AA18" s="10">
        <v>110.98</v>
      </c>
      <c r="AB18" s="95">
        <v>1067300</v>
      </c>
      <c r="AC18" s="10">
        <v>110.98</v>
      </c>
      <c r="AD18" s="2">
        <f t="shared" si="0"/>
        <v>0.62999999999999545</v>
      </c>
      <c r="AE18" s="138">
        <f t="shared" si="1"/>
        <v>2.9823768639856141E-3</v>
      </c>
    </row>
    <row r="19" spans="1:31" x14ac:dyDescent="0.25">
      <c r="W19" s="133">
        <v>42727</v>
      </c>
      <c r="X19" s="10">
        <v>110.35</v>
      </c>
      <c r="Y19" s="10">
        <v>110.83</v>
      </c>
      <c r="Z19" s="10">
        <v>110.04</v>
      </c>
      <c r="AA19" s="10">
        <v>110.65</v>
      </c>
      <c r="AB19" s="95">
        <v>1303200</v>
      </c>
      <c r="AC19" s="10">
        <v>110.65</v>
      </c>
      <c r="AD19" s="2">
        <f t="shared" si="0"/>
        <v>0.78999999999999204</v>
      </c>
      <c r="AE19" s="138">
        <f t="shared" si="1"/>
        <v>1.7200796668477292E-3</v>
      </c>
    </row>
    <row r="20" spans="1:31" x14ac:dyDescent="0.25">
      <c r="W20" s="133">
        <v>42726</v>
      </c>
      <c r="X20" s="10">
        <v>110.58</v>
      </c>
      <c r="Y20" s="10">
        <v>110.76</v>
      </c>
      <c r="Z20" s="10">
        <v>109.69</v>
      </c>
      <c r="AA20" s="10">
        <v>110.46</v>
      </c>
      <c r="AB20" s="95">
        <v>2087900</v>
      </c>
      <c r="AC20" s="10">
        <v>110.46</v>
      </c>
      <c r="AD20" s="2">
        <f t="shared" si="0"/>
        <v>1.0700000000000074</v>
      </c>
      <c r="AE20" s="138">
        <f t="shared" si="1"/>
        <v>-2.715177844149208E-4</v>
      </c>
    </row>
    <row r="21" spans="1:31" x14ac:dyDescent="0.25">
      <c r="W21" s="133">
        <v>42725</v>
      </c>
      <c r="X21" s="10">
        <v>110.94</v>
      </c>
      <c r="Y21" s="10">
        <v>111.13</v>
      </c>
      <c r="Z21" s="10">
        <v>110.47</v>
      </c>
      <c r="AA21" s="10">
        <v>110.49</v>
      </c>
      <c r="AB21" s="95">
        <v>2078700</v>
      </c>
      <c r="AC21" s="10">
        <v>110.49</v>
      </c>
      <c r="AD21" s="2">
        <f t="shared" si="0"/>
        <v>0.65999999999999659</v>
      </c>
      <c r="AE21" s="138">
        <f t="shared" si="1"/>
        <v>-1.4460009037506882E-3</v>
      </c>
    </row>
    <row r="22" spans="1:31" x14ac:dyDescent="0.25">
      <c r="W22" s="133">
        <v>42724</v>
      </c>
      <c r="X22" s="10">
        <v>110.93</v>
      </c>
      <c r="Y22" s="10">
        <v>111</v>
      </c>
      <c r="Z22" s="10">
        <v>110.15</v>
      </c>
      <c r="AA22" s="10">
        <v>110.65</v>
      </c>
      <c r="AB22" s="95">
        <v>2250000</v>
      </c>
      <c r="AC22" s="10">
        <v>110.65</v>
      </c>
      <c r="AD22" s="2">
        <f t="shared" si="0"/>
        <v>0.84999999999999432</v>
      </c>
      <c r="AE22" s="138">
        <f t="shared" si="1"/>
        <v>-1.5340191301208561E-3</v>
      </c>
    </row>
    <row r="23" spans="1:31" x14ac:dyDescent="0.25">
      <c r="W23" s="133">
        <v>42723</v>
      </c>
      <c r="X23" s="10">
        <v>109.57</v>
      </c>
      <c r="Y23" s="10">
        <v>111.07</v>
      </c>
      <c r="Z23" s="10">
        <v>108.88</v>
      </c>
      <c r="AA23" s="10">
        <v>110.82</v>
      </c>
      <c r="AB23" s="95">
        <v>3831000</v>
      </c>
      <c r="AC23" s="10">
        <v>110.82</v>
      </c>
      <c r="AD23" s="2">
        <f t="shared" si="0"/>
        <v>2.1899999999999977</v>
      </c>
      <c r="AE23" s="138">
        <f t="shared" si="1"/>
        <v>2.1194249907851015E-2</v>
      </c>
    </row>
    <row r="24" spans="1:31" x14ac:dyDescent="0.25">
      <c r="W24" s="133">
        <v>42720</v>
      </c>
      <c r="X24" s="10">
        <v>108.41</v>
      </c>
      <c r="Y24" s="10">
        <v>109.26</v>
      </c>
      <c r="Z24" s="10">
        <v>108.09</v>
      </c>
      <c r="AA24" s="10">
        <v>108.52</v>
      </c>
      <c r="AB24" s="95">
        <v>7847000</v>
      </c>
      <c r="AC24" s="10">
        <v>108.52</v>
      </c>
      <c r="AD24" s="2">
        <f t="shared" si="0"/>
        <v>1.1700000000000017</v>
      </c>
      <c r="AE24" s="138">
        <f t="shared" si="1"/>
        <v>3.6067696291501861E-3</v>
      </c>
    </row>
    <row r="25" spans="1:31" x14ac:dyDescent="0.25">
      <c r="W25" s="133">
        <v>42719</v>
      </c>
      <c r="X25" s="10">
        <v>109.04</v>
      </c>
      <c r="Y25" s="10">
        <v>109.43</v>
      </c>
      <c r="Z25" s="10">
        <v>108.12</v>
      </c>
      <c r="AA25" s="10">
        <v>108.13</v>
      </c>
      <c r="AB25" s="95">
        <v>3555800</v>
      </c>
      <c r="AC25" s="10">
        <v>108.13</v>
      </c>
      <c r="AD25" s="2">
        <f t="shared" si="0"/>
        <v>1.3100000000000023</v>
      </c>
      <c r="AE25" s="138">
        <f t="shared" si="1"/>
        <v>-1.0432872700649742E-2</v>
      </c>
    </row>
    <row r="26" spans="1:31" x14ac:dyDescent="0.25">
      <c r="W26" s="133">
        <v>42718</v>
      </c>
      <c r="X26" s="10">
        <v>110.35</v>
      </c>
      <c r="Y26" s="10">
        <v>110.44</v>
      </c>
      <c r="Z26" s="10">
        <v>109.09</v>
      </c>
      <c r="AA26" s="10">
        <v>109.27</v>
      </c>
      <c r="AB26" s="95">
        <v>2683500</v>
      </c>
      <c r="AC26" s="10">
        <v>109.27</v>
      </c>
      <c r="AD26" s="2">
        <f t="shared" si="0"/>
        <v>1.3499999999999943</v>
      </c>
      <c r="AE26" s="138">
        <f t="shared" si="1"/>
        <v>-9.4279757048318924E-3</v>
      </c>
    </row>
    <row r="27" spans="1:31" x14ac:dyDescent="0.25">
      <c r="L27" t="s">
        <v>214</v>
      </c>
      <c r="M27" s="2">
        <f>M35+K35-F35</f>
        <v>114.84999999999991</v>
      </c>
      <c r="W27" s="133">
        <v>42717</v>
      </c>
      <c r="X27" s="10">
        <v>110.88</v>
      </c>
      <c r="Y27" s="10">
        <v>111.69</v>
      </c>
      <c r="Z27" s="10">
        <v>110.26</v>
      </c>
      <c r="AA27" s="10">
        <v>110.31</v>
      </c>
      <c r="AB27" s="95">
        <v>3750800</v>
      </c>
      <c r="AC27" s="10">
        <v>110.31</v>
      </c>
      <c r="AD27" s="2">
        <f t="shared" si="0"/>
        <v>1.4299999999999926</v>
      </c>
      <c r="AE27" s="138">
        <f t="shared" si="1"/>
        <v>-7.2470332457652553E-4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42716</v>
      </c>
      <c r="X28" s="10">
        <v>109.42</v>
      </c>
      <c r="Y28" s="10">
        <v>110.5</v>
      </c>
      <c r="Z28" s="10">
        <v>108.79</v>
      </c>
      <c r="AA28" s="10">
        <v>110.39</v>
      </c>
      <c r="AB28" s="95">
        <v>4477600</v>
      </c>
      <c r="AC28" s="10">
        <v>110.39</v>
      </c>
      <c r="AD28" s="2">
        <f t="shared" si="0"/>
        <v>1.7099999999999937</v>
      </c>
      <c r="AE28" s="138">
        <f t="shared" si="1"/>
        <v>5.464978595500547E-3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42713</v>
      </c>
      <c r="X29" s="10">
        <v>108.54</v>
      </c>
      <c r="Y29" s="10">
        <v>109.99</v>
      </c>
      <c r="Z29" s="10">
        <v>108.06</v>
      </c>
      <c r="AA29" s="10">
        <v>109.79</v>
      </c>
      <c r="AB29" s="95">
        <v>3428300</v>
      </c>
      <c r="AC29" s="10">
        <v>109.79</v>
      </c>
      <c r="AD29" s="2">
        <f t="shared" si="0"/>
        <v>1.9299999999999926</v>
      </c>
      <c r="AE29" s="138">
        <f t="shared" si="1"/>
        <v>1.2542654246979534E-2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42712</v>
      </c>
      <c r="X30" s="10">
        <v>109.67</v>
      </c>
      <c r="Y30" s="10">
        <v>109.68</v>
      </c>
      <c r="Z30" s="10">
        <v>108.14</v>
      </c>
      <c r="AA30" s="10">
        <v>108.43</v>
      </c>
      <c r="AB30" s="95">
        <v>3168500</v>
      </c>
      <c r="AC30" s="10">
        <v>108.43</v>
      </c>
      <c r="AD30" s="2">
        <f t="shared" si="0"/>
        <v>1.5400000000000063</v>
      </c>
      <c r="AE30" s="138">
        <f t="shared" si="1"/>
        <v>-1.1396790663749101E-2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42711</v>
      </c>
      <c r="X31" s="10">
        <v>107.5</v>
      </c>
      <c r="Y31" s="10">
        <v>109.84</v>
      </c>
      <c r="Z31" s="10">
        <v>107.08</v>
      </c>
      <c r="AA31" s="10">
        <v>109.68</v>
      </c>
      <c r="AB31" s="95">
        <v>4225300</v>
      </c>
      <c r="AC31" s="10">
        <v>109.68</v>
      </c>
      <c r="AD31" s="2">
        <f t="shared" si="0"/>
        <v>2.7600000000000051</v>
      </c>
      <c r="AE31" s="138">
        <f t="shared" si="1"/>
        <v>2.0943870427254874E-2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42710</v>
      </c>
      <c r="X32" s="10">
        <v>107.3</v>
      </c>
      <c r="Y32" s="10">
        <v>107.7</v>
      </c>
      <c r="Z32" s="10">
        <v>107.08</v>
      </c>
      <c r="AA32" s="10">
        <v>107.43</v>
      </c>
      <c r="AB32" s="95">
        <v>2147800</v>
      </c>
      <c r="AC32" s="10">
        <v>107.43</v>
      </c>
      <c r="AD32" s="2">
        <f t="shared" si="0"/>
        <v>0.62000000000000455</v>
      </c>
      <c r="AE32" s="138">
        <f t="shared" si="1"/>
        <v>9.3092533978822445E-5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42709</v>
      </c>
      <c r="X33" s="10">
        <v>108.72</v>
      </c>
      <c r="Y33" s="10">
        <v>108.8</v>
      </c>
      <c r="Z33" s="10">
        <v>107.36</v>
      </c>
      <c r="AA33" s="10">
        <v>107.42</v>
      </c>
      <c r="AB33" s="95">
        <v>3069900</v>
      </c>
      <c r="AC33" s="10">
        <v>107.42</v>
      </c>
      <c r="AD33" s="2">
        <f t="shared" si="0"/>
        <v>1.4399999999999977</v>
      </c>
      <c r="AE33" s="138">
        <f t="shared" si="1"/>
        <v>-7.3923489188689739E-3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42706</v>
      </c>
      <c r="X34" s="10">
        <v>108.04</v>
      </c>
      <c r="Y34" s="10">
        <v>108.57</v>
      </c>
      <c r="Z34" s="10">
        <v>107.48</v>
      </c>
      <c r="AA34" s="10">
        <v>108.22</v>
      </c>
      <c r="AB34" s="95">
        <v>3122200</v>
      </c>
      <c r="AC34" s="10">
        <v>108.22</v>
      </c>
      <c r="AD34" s="2">
        <f t="shared" si="0"/>
        <v>1.0899999999999892</v>
      </c>
      <c r="AE34" s="138">
        <f t="shared" si="1"/>
        <v>6.8850018608113128E-3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42705</v>
      </c>
      <c r="X35" s="10">
        <v>108</v>
      </c>
      <c r="Y35" s="10">
        <v>108.17</v>
      </c>
      <c r="Z35" s="10">
        <v>107.07</v>
      </c>
      <c r="AA35" s="10">
        <v>107.48</v>
      </c>
      <c r="AB35" s="95">
        <v>4051200</v>
      </c>
      <c r="AC35" s="10">
        <v>107.48</v>
      </c>
      <c r="AD35" s="2">
        <f t="shared" si="0"/>
        <v>1.1000000000000085</v>
      </c>
      <c r="AE35" s="138">
        <f t="shared" si="1"/>
        <v>-2.2279985146675951E-3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42704</v>
      </c>
      <c r="X36" s="10">
        <v>109.03</v>
      </c>
      <c r="Y36" s="10">
        <v>110</v>
      </c>
      <c r="Z36" s="10">
        <v>107.72</v>
      </c>
      <c r="AA36" s="10">
        <v>107.72</v>
      </c>
      <c r="AB36" s="95">
        <v>4080900</v>
      </c>
      <c r="AC36" s="10">
        <v>107.72</v>
      </c>
      <c r="AD36" s="2">
        <f t="shared" si="0"/>
        <v>2.2800000000000011</v>
      </c>
      <c r="AE36" s="138">
        <f t="shared" si="1"/>
        <v>-1.0290334435869242E-2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42703</v>
      </c>
      <c r="X37" s="10">
        <v>108.67</v>
      </c>
      <c r="Y37" s="10">
        <v>109.44</v>
      </c>
      <c r="Z37" s="10">
        <v>108.65</v>
      </c>
      <c r="AA37" s="10">
        <v>108.84</v>
      </c>
      <c r="AB37" s="95">
        <v>3116300</v>
      </c>
      <c r="AC37" s="10">
        <v>108.84</v>
      </c>
      <c r="AD37" s="2">
        <f t="shared" si="0"/>
        <v>0.78999999999999204</v>
      </c>
      <c r="AE37" s="138">
        <f t="shared" si="1"/>
        <v>3.596127247579517E-3</v>
      </c>
    </row>
    <row r="38" spans="1:31" x14ac:dyDescent="0.25">
      <c r="W38" s="133">
        <v>42702</v>
      </c>
      <c r="X38" s="10">
        <v>108.5</v>
      </c>
      <c r="Y38" s="10">
        <v>108.98</v>
      </c>
      <c r="Z38" s="10">
        <v>108.29</v>
      </c>
      <c r="AA38" s="10">
        <v>108.45</v>
      </c>
      <c r="AB38" s="95">
        <v>2448600</v>
      </c>
      <c r="AC38" s="10">
        <v>108.45</v>
      </c>
      <c r="AD38" s="2">
        <f t="shared" si="0"/>
        <v>0.68999999999999773</v>
      </c>
      <c r="AE38" s="138">
        <f t="shared" si="1"/>
        <v>-3.0336458907886943E-3</v>
      </c>
    </row>
    <row r="39" spans="1:31" ht="20.25" thickBot="1" x14ac:dyDescent="0.35">
      <c r="P39" s="632" t="s">
        <v>78</v>
      </c>
      <c r="Q39" s="632"/>
      <c r="W39" s="133">
        <v>42699</v>
      </c>
      <c r="X39" s="10">
        <v>108.63</v>
      </c>
      <c r="Y39" s="10">
        <v>109.2</v>
      </c>
      <c r="Z39" s="10">
        <v>108.29</v>
      </c>
      <c r="AA39" s="10">
        <v>108.78</v>
      </c>
      <c r="AB39" s="95">
        <v>1008700</v>
      </c>
      <c r="AC39" s="10">
        <v>108.78</v>
      </c>
      <c r="AD39" s="2">
        <f t="shared" si="0"/>
        <v>0.90999999999999659</v>
      </c>
      <c r="AE39" s="138">
        <f t="shared" si="1"/>
        <v>6.1973915456479123E-3</v>
      </c>
    </row>
    <row r="40" spans="1:31" ht="15.75" thickTop="1" x14ac:dyDescent="0.25">
      <c r="O40" s="2"/>
      <c r="P40" s="83">
        <v>1.1000000000000001</v>
      </c>
      <c r="Q40" s="83">
        <f>P40*$Q$4</f>
        <v>121.86900000000001</v>
      </c>
      <c r="W40" s="133">
        <v>42697</v>
      </c>
      <c r="X40" s="10">
        <v>107.37</v>
      </c>
      <c r="Y40" s="10">
        <v>108.28</v>
      </c>
      <c r="Z40" s="10">
        <v>107.37</v>
      </c>
      <c r="AA40" s="10">
        <v>108.11</v>
      </c>
      <c r="AB40" s="95">
        <v>2378500</v>
      </c>
      <c r="AC40" s="10">
        <v>108.11</v>
      </c>
      <c r="AD40" s="2">
        <f t="shared" si="0"/>
        <v>0.90999999999999659</v>
      </c>
      <c r="AE40" s="138">
        <f t="shared" si="1"/>
        <v>1.0940714419300557E-2</v>
      </c>
    </row>
    <row r="41" spans="1:31" x14ac:dyDescent="0.25">
      <c r="O41" s="2"/>
      <c r="P41" s="83">
        <v>1.0900000000000001</v>
      </c>
      <c r="Q41" s="83">
        <f t="shared" ref="Q41:Q60" si="2">P41*$Q$4</f>
        <v>120.76110000000001</v>
      </c>
      <c r="W41" s="133">
        <v>42696</v>
      </c>
      <c r="X41" s="10">
        <v>107.21</v>
      </c>
      <c r="Y41" s="10">
        <v>107.33</v>
      </c>
      <c r="Z41" s="10">
        <v>106.87</v>
      </c>
      <c r="AA41" s="10">
        <v>106.94</v>
      </c>
      <c r="AB41" s="95">
        <v>2640700</v>
      </c>
      <c r="AC41" s="10">
        <v>106.94</v>
      </c>
      <c r="AD41" s="2">
        <f t="shared" si="0"/>
        <v>0.45999999999999375</v>
      </c>
      <c r="AE41" s="138">
        <f t="shared" si="1"/>
        <v>8.4230229293402736E-4</v>
      </c>
    </row>
    <row r="42" spans="1:31" ht="20.25" thickBot="1" x14ac:dyDescent="0.35">
      <c r="O42" s="2"/>
      <c r="P42" s="83">
        <v>1.08</v>
      </c>
      <c r="Q42" s="83">
        <f t="shared" si="2"/>
        <v>119.65320000000001</v>
      </c>
      <c r="T42" s="91" t="s">
        <v>113</v>
      </c>
      <c r="W42" s="133">
        <v>42695</v>
      </c>
      <c r="X42" s="10">
        <v>106.85</v>
      </c>
      <c r="Y42" s="10">
        <v>107.06</v>
      </c>
      <c r="Z42" s="10">
        <v>106.21</v>
      </c>
      <c r="AA42" s="10">
        <v>106.85</v>
      </c>
      <c r="AB42" s="95">
        <v>2177400</v>
      </c>
      <c r="AC42" s="10">
        <v>106.85</v>
      </c>
      <c r="AD42" s="2">
        <f t="shared" si="0"/>
        <v>0.85000000000000853</v>
      </c>
      <c r="AE42" s="138">
        <f t="shared" si="1"/>
        <v>3.2863849765256692E-3</v>
      </c>
    </row>
    <row r="43" spans="1:31" ht="15.75" thickTop="1" x14ac:dyDescent="0.25">
      <c r="O43" s="2"/>
      <c r="P43" s="83">
        <v>1.07</v>
      </c>
      <c r="Q43" s="83">
        <f t="shared" si="2"/>
        <v>118.54530000000001</v>
      </c>
      <c r="T43" s="128" t="s">
        <v>98</v>
      </c>
      <c r="U43" s="98">
        <v>110.73</v>
      </c>
      <c r="W43" s="133">
        <v>42692</v>
      </c>
      <c r="X43" s="10">
        <v>106.66</v>
      </c>
      <c r="Y43" s="10">
        <v>106.96</v>
      </c>
      <c r="Z43" s="10">
        <v>106.37</v>
      </c>
      <c r="AA43" s="10">
        <v>106.5</v>
      </c>
      <c r="AB43" s="95">
        <v>2677500</v>
      </c>
      <c r="AC43" s="10">
        <v>106.5</v>
      </c>
      <c r="AD43" s="2">
        <f t="shared" si="0"/>
        <v>0.5899999999999892</v>
      </c>
      <c r="AE43" s="138">
        <f t="shared" si="1"/>
        <v>-1.8744142455482393E-3</v>
      </c>
    </row>
    <row r="44" spans="1:31" x14ac:dyDescent="0.25">
      <c r="O44" s="2"/>
      <c r="P44" s="83">
        <v>1.06</v>
      </c>
      <c r="Q44" s="83">
        <f t="shared" si="2"/>
        <v>117.43740000000001</v>
      </c>
      <c r="T44" s="93" t="s">
        <v>99</v>
      </c>
      <c r="U44" s="88">
        <v>110.95</v>
      </c>
      <c r="W44" s="133">
        <v>42691</v>
      </c>
      <c r="X44" s="10">
        <v>107.03</v>
      </c>
      <c r="Y44" s="10">
        <v>107.44</v>
      </c>
      <c r="Z44" s="10">
        <v>106.61</v>
      </c>
      <c r="AA44" s="10">
        <v>106.7</v>
      </c>
      <c r="AB44" s="95">
        <v>2226500</v>
      </c>
      <c r="AC44" s="10">
        <v>106.7</v>
      </c>
      <c r="AD44" s="2">
        <f t="shared" si="0"/>
        <v>0.82999999999999829</v>
      </c>
      <c r="AE44" s="138">
        <f t="shared" si="1"/>
        <v>-2.4308152580403419E-3</v>
      </c>
    </row>
    <row r="45" spans="1:31" x14ac:dyDescent="0.25">
      <c r="O45" s="2"/>
      <c r="P45" s="83">
        <v>1.05</v>
      </c>
      <c r="Q45" s="83">
        <f t="shared" si="2"/>
        <v>116.32950000000001</v>
      </c>
      <c r="T45" s="93" t="s">
        <v>100</v>
      </c>
      <c r="U45" s="88" t="s">
        <v>129</v>
      </c>
      <c r="W45" s="133">
        <v>42690</v>
      </c>
      <c r="X45" s="10">
        <v>106.62</v>
      </c>
      <c r="Y45" s="10">
        <v>107.38</v>
      </c>
      <c r="Z45" s="10">
        <v>106.35</v>
      </c>
      <c r="AA45" s="10">
        <v>106.96</v>
      </c>
      <c r="AB45" s="95">
        <v>2707500</v>
      </c>
      <c r="AC45" s="10">
        <v>106.96</v>
      </c>
      <c r="AD45" s="2">
        <f t="shared" si="0"/>
        <v>1.0300000000000011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115.22160000000001</v>
      </c>
      <c r="T46" s="93" t="s">
        <v>101</v>
      </c>
      <c r="U46" s="88" t="s">
        <v>129</v>
      </c>
      <c r="W46" s="133">
        <v>42690</v>
      </c>
      <c r="X46" s="10" t="s">
        <v>218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114.11370000000001</v>
      </c>
      <c r="T47" s="93" t="s">
        <v>102</v>
      </c>
      <c r="U47" s="88">
        <v>117.53</v>
      </c>
      <c r="W47" s="133">
        <v>42689</v>
      </c>
      <c r="X47" s="10">
        <v>107.85</v>
      </c>
      <c r="Y47" s="10">
        <v>108.02</v>
      </c>
      <c r="Z47" s="10">
        <v>106.66</v>
      </c>
      <c r="AA47" s="10">
        <v>107.68</v>
      </c>
      <c r="AB47" s="95">
        <v>3795600</v>
      </c>
      <c r="AC47" s="10">
        <v>107.02</v>
      </c>
      <c r="AD47" s="2">
        <f t="shared" si="0"/>
        <v>1.3599999999999994</v>
      </c>
      <c r="AE47" s="138">
        <f t="shared" si="1"/>
        <v>-1.6791044776119923E-3</v>
      </c>
    </row>
    <row r="48" spans="1:31" x14ac:dyDescent="0.25">
      <c r="O48" s="2"/>
      <c r="P48" s="83">
        <v>1.02</v>
      </c>
      <c r="Q48" s="83">
        <f t="shared" si="2"/>
        <v>113.00580000000001</v>
      </c>
      <c r="T48" s="93" t="s">
        <v>103</v>
      </c>
      <c r="U48" s="88">
        <v>0.98758999999999997</v>
      </c>
      <c r="W48" s="133">
        <v>42688</v>
      </c>
      <c r="X48" s="10">
        <v>109.42</v>
      </c>
      <c r="Y48" s="10">
        <v>109.42</v>
      </c>
      <c r="Z48" s="10">
        <v>107.73</v>
      </c>
      <c r="AA48" s="10">
        <v>107.86</v>
      </c>
      <c r="AB48" s="95">
        <v>4138500</v>
      </c>
      <c r="AC48" s="10">
        <v>107.2</v>
      </c>
      <c r="AD48" s="2">
        <f t="shared" si="0"/>
        <v>1.6899999999999977</v>
      </c>
      <c r="AE48" s="138">
        <f t="shared" si="1"/>
        <v>-9.1505684444033175E-3</v>
      </c>
    </row>
    <row r="49" spans="15:31" x14ac:dyDescent="0.25">
      <c r="O49" s="2"/>
      <c r="P49" s="83">
        <v>1.01</v>
      </c>
      <c r="Q49" s="83">
        <f t="shared" si="2"/>
        <v>111.89790000000001</v>
      </c>
      <c r="T49" s="93" t="s">
        <v>104</v>
      </c>
      <c r="U49" s="88" t="s">
        <v>417</v>
      </c>
      <c r="W49" s="133">
        <v>42685</v>
      </c>
      <c r="X49" s="10">
        <v>107.9</v>
      </c>
      <c r="Y49" s="10">
        <v>108.92</v>
      </c>
      <c r="Z49" s="10">
        <v>107</v>
      </c>
      <c r="AA49" s="10">
        <v>108.86</v>
      </c>
      <c r="AB49" s="95">
        <v>4149900</v>
      </c>
      <c r="AC49" s="10">
        <v>108.19</v>
      </c>
      <c r="AD49" s="2">
        <f t="shared" si="0"/>
        <v>1.9200000000000017</v>
      </c>
      <c r="AE49" s="138">
        <f t="shared" si="1"/>
        <v>4.0835266821346305E-3</v>
      </c>
    </row>
    <row r="50" spans="15:31" x14ac:dyDescent="0.25">
      <c r="O50" s="2"/>
      <c r="P50" s="83">
        <v>1</v>
      </c>
      <c r="Q50" s="83">
        <f t="shared" si="2"/>
        <v>110.79</v>
      </c>
      <c r="T50" s="93"/>
      <c r="U50" s="88"/>
      <c r="W50" s="133">
        <v>42684</v>
      </c>
      <c r="X50" s="10">
        <v>105.38</v>
      </c>
      <c r="Y50" s="10">
        <v>108.46</v>
      </c>
      <c r="Z50" s="10">
        <v>105.34</v>
      </c>
      <c r="AA50" s="10">
        <v>108.41</v>
      </c>
      <c r="AB50" s="95">
        <v>6105600</v>
      </c>
      <c r="AC50" s="10">
        <v>107.75</v>
      </c>
      <c r="AD50" s="2">
        <f t="shared" si="0"/>
        <v>3.1199999999999903</v>
      </c>
      <c r="AE50" s="138">
        <f t="shared" si="1"/>
        <v>3.4366900259191757E-2</v>
      </c>
    </row>
    <row r="51" spans="15:31" x14ac:dyDescent="0.25">
      <c r="O51" s="2"/>
      <c r="P51" s="83">
        <v>0.99</v>
      </c>
      <c r="Q51" s="83">
        <f t="shared" si="2"/>
        <v>109.68210000000001</v>
      </c>
      <c r="T51" s="93" t="s">
        <v>105</v>
      </c>
      <c r="U51" s="88" t="s">
        <v>604</v>
      </c>
      <c r="W51" s="133">
        <v>42683</v>
      </c>
      <c r="X51" s="10">
        <v>101.09</v>
      </c>
      <c r="Y51" s="10">
        <v>105.29</v>
      </c>
      <c r="Z51" s="10">
        <v>101.09</v>
      </c>
      <c r="AA51" s="10">
        <v>104.81</v>
      </c>
      <c r="AB51" s="95">
        <v>5003900</v>
      </c>
      <c r="AC51" s="10">
        <v>104.17</v>
      </c>
      <c r="AD51" s="2">
        <f t="shared" si="0"/>
        <v>4.2000000000000028</v>
      </c>
      <c r="AE51" s="138">
        <f t="shared" si="1"/>
        <v>1.3918629550321304E-2</v>
      </c>
    </row>
    <row r="52" spans="15:31" x14ac:dyDescent="0.25">
      <c r="O52" s="2"/>
      <c r="P52" s="83">
        <v>0.98</v>
      </c>
      <c r="Q52" s="83">
        <f t="shared" si="2"/>
        <v>108.5742</v>
      </c>
      <c r="T52" s="93" t="s">
        <v>106</v>
      </c>
      <c r="U52" s="88" t="s">
        <v>453</v>
      </c>
      <c r="W52" s="133">
        <v>42682</v>
      </c>
      <c r="X52" s="10">
        <v>103.23</v>
      </c>
      <c r="Y52" s="10">
        <v>103.92</v>
      </c>
      <c r="Z52" s="10">
        <v>102.62</v>
      </c>
      <c r="AA52" s="10">
        <v>103.37</v>
      </c>
      <c r="AB52" s="95">
        <v>2524200</v>
      </c>
      <c r="AC52" s="10">
        <v>102.74</v>
      </c>
      <c r="AD52" s="2">
        <f t="shared" si="0"/>
        <v>1.2999999999999972</v>
      </c>
      <c r="AE52" s="138">
        <f t="shared" si="1"/>
        <v>3.1243897676234145E-3</v>
      </c>
    </row>
    <row r="53" spans="15:31" x14ac:dyDescent="0.25">
      <c r="P53" s="83">
        <v>0.97</v>
      </c>
      <c r="Q53" s="83">
        <f t="shared" si="2"/>
        <v>107.4663</v>
      </c>
      <c r="T53" s="93" t="s">
        <v>107</v>
      </c>
      <c r="U53" s="90">
        <v>3134293</v>
      </c>
      <c r="W53" s="133">
        <v>42681</v>
      </c>
      <c r="X53" s="10">
        <v>102.97</v>
      </c>
      <c r="Y53" s="10">
        <v>103.34</v>
      </c>
      <c r="Z53" s="10">
        <v>102.51</v>
      </c>
      <c r="AA53" s="10">
        <v>103.05</v>
      </c>
      <c r="AB53" s="95">
        <v>4226200</v>
      </c>
      <c r="AC53" s="10">
        <v>102.42</v>
      </c>
      <c r="AD53" s="2">
        <f t="shared" si="0"/>
        <v>0.82999999999999829</v>
      </c>
      <c r="AE53" s="138">
        <f t="shared" si="1"/>
        <v>1.6979445933869686E-2</v>
      </c>
    </row>
    <row r="54" spans="15:31" x14ac:dyDescent="0.25">
      <c r="P54" s="83">
        <v>0.96</v>
      </c>
      <c r="Q54" s="83">
        <f t="shared" si="2"/>
        <v>106.3584</v>
      </c>
      <c r="T54" s="93" t="s">
        <v>110</v>
      </c>
      <c r="U54" s="90">
        <v>3231130</v>
      </c>
      <c r="W54" s="133">
        <v>42678</v>
      </c>
      <c r="X54" s="10">
        <v>101.24</v>
      </c>
      <c r="Y54" s="10">
        <v>101.77</v>
      </c>
      <c r="Z54" s="10">
        <v>100.74</v>
      </c>
      <c r="AA54" s="10">
        <v>101.33</v>
      </c>
      <c r="AB54" s="95">
        <v>2607800</v>
      </c>
      <c r="AC54" s="10">
        <v>100.71</v>
      </c>
      <c r="AD54" s="2">
        <f t="shared" si="0"/>
        <v>1.0300000000000011</v>
      </c>
      <c r="AE54" s="138">
        <f t="shared" si="1"/>
        <v>2.7880115503333691E-3</v>
      </c>
    </row>
    <row r="55" spans="15:31" x14ac:dyDescent="0.25">
      <c r="P55" s="83">
        <v>0.95</v>
      </c>
      <c r="Q55" s="83">
        <f t="shared" si="2"/>
        <v>105.2505</v>
      </c>
      <c r="T55" s="93" t="s">
        <v>108</v>
      </c>
      <c r="U55" s="88" t="s">
        <v>605</v>
      </c>
      <c r="W55" s="133">
        <v>42677</v>
      </c>
      <c r="X55" s="10">
        <v>101.8</v>
      </c>
      <c r="Y55" s="10">
        <v>101.91</v>
      </c>
      <c r="Z55" s="10">
        <v>100.72</v>
      </c>
      <c r="AA55" s="10">
        <v>101.05</v>
      </c>
      <c r="AB55" s="95">
        <v>2444200</v>
      </c>
      <c r="AC55" s="10">
        <v>100.43</v>
      </c>
      <c r="AD55" s="2">
        <f t="shared" si="0"/>
        <v>1.1899999999999977</v>
      </c>
      <c r="AE55" s="138">
        <f t="shared" si="1"/>
        <v>-4.8553309552119561E-3</v>
      </c>
    </row>
    <row r="56" spans="15:31" x14ac:dyDescent="0.25">
      <c r="P56" s="83">
        <v>0.94</v>
      </c>
      <c r="Q56" s="83">
        <f t="shared" si="2"/>
        <v>104.1426</v>
      </c>
      <c r="T56" s="93" t="s">
        <v>111</v>
      </c>
      <c r="U56" s="88">
        <v>12.66</v>
      </c>
      <c r="W56" s="133">
        <v>42676</v>
      </c>
      <c r="X56" s="10">
        <v>101.85</v>
      </c>
      <c r="Y56" s="10">
        <v>102.56</v>
      </c>
      <c r="Z56" s="10">
        <v>101.16</v>
      </c>
      <c r="AA56" s="10">
        <v>101.54</v>
      </c>
      <c r="AB56" s="95">
        <v>4115500</v>
      </c>
      <c r="AC56" s="10">
        <v>100.92</v>
      </c>
      <c r="AD56" s="2">
        <f t="shared" si="0"/>
        <v>1.4000000000000057</v>
      </c>
      <c r="AE56" s="138">
        <f t="shared" si="1"/>
        <v>-4.5373840994278325E-3</v>
      </c>
    </row>
    <row r="57" spans="15:31" x14ac:dyDescent="0.25">
      <c r="P57" s="83">
        <v>0.93</v>
      </c>
      <c r="Q57" s="83">
        <f t="shared" si="2"/>
        <v>103.03470000000002</v>
      </c>
      <c r="T57" s="93" t="s">
        <v>112</v>
      </c>
      <c r="U57" s="88">
        <v>8.75</v>
      </c>
      <c r="W57" s="133">
        <v>42675</v>
      </c>
      <c r="X57" s="10">
        <v>102.41</v>
      </c>
      <c r="Y57" s="10">
        <v>102.92</v>
      </c>
      <c r="Z57" s="10">
        <v>101.3</v>
      </c>
      <c r="AA57" s="10">
        <v>102.01</v>
      </c>
      <c r="AB57" s="95">
        <v>4044500</v>
      </c>
      <c r="AC57" s="10">
        <v>101.38</v>
      </c>
      <c r="AD57" s="2">
        <f t="shared" si="0"/>
        <v>1.6200000000000045</v>
      </c>
      <c r="AE57" s="138">
        <f t="shared" si="1"/>
        <v>-1.8706310918578106E-3</v>
      </c>
    </row>
    <row r="58" spans="15:31" x14ac:dyDescent="0.25">
      <c r="P58" s="83">
        <v>0.92</v>
      </c>
      <c r="Q58" s="83">
        <f t="shared" si="2"/>
        <v>101.92680000000001</v>
      </c>
      <c r="T58" s="93" t="s">
        <v>109</v>
      </c>
      <c r="U58" s="88" t="s">
        <v>657</v>
      </c>
      <c r="W58" s="133">
        <v>42674</v>
      </c>
      <c r="X58" s="10">
        <v>102.01</v>
      </c>
      <c r="Y58" s="10">
        <v>102.6</v>
      </c>
      <c r="Z58" s="10">
        <v>101.9</v>
      </c>
      <c r="AA58" s="10">
        <v>102.2</v>
      </c>
      <c r="AB58" s="95">
        <v>4014500</v>
      </c>
      <c r="AC58" s="10">
        <v>101.57</v>
      </c>
      <c r="AD58" s="2">
        <f t="shared" si="0"/>
        <v>0.69999999999998863</v>
      </c>
      <c r="AE58" s="138">
        <f t="shared" si="1"/>
        <v>3.4578146611341509E-3</v>
      </c>
    </row>
    <row r="59" spans="15:31" x14ac:dyDescent="0.25">
      <c r="P59" s="83">
        <v>0.91</v>
      </c>
      <c r="Q59" s="83">
        <f t="shared" si="2"/>
        <v>100.81890000000001</v>
      </c>
      <c r="W59" s="133">
        <v>42671</v>
      </c>
      <c r="X59" s="10">
        <v>100.52</v>
      </c>
      <c r="Y59" s="10">
        <v>102.14</v>
      </c>
      <c r="Z59" s="10">
        <v>100.52</v>
      </c>
      <c r="AA59" s="10">
        <v>101.84</v>
      </c>
      <c r="AB59" s="95">
        <v>4449100</v>
      </c>
      <c r="AC59" s="10">
        <v>101.22</v>
      </c>
      <c r="AD59" s="2">
        <f t="shared" si="0"/>
        <v>1.6200000000000045</v>
      </c>
      <c r="AE59" s="138">
        <f t="shared" si="1"/>
        <v>1.7695556002413015E-2</v>
      </c>
    </row>
    <row r="60" spans="15:31" x14ac:dyDescent="0.25">
      <c r="P60" s="83">
        <v>0.9</v>
      </c>
      <c r="Q60" s="83">
        <f t="shared" si="2"/>
        <v>99.711000000000013</v>
      </c>
      <c r="W60" s="133">
        <v>42670</v>
      </c>
      <c r="X60" s="10">
        <v>101.48</v>
      </c>
      <c r="Y60" s="10">
        <v>101.62</v>
      </c>
      <c r="Z60" s="10">
        <v>99.99</v>
      </c>
      <c r="AA60" s="10">
        <v>100.07</v>
      </c>
      <c r="AB60" s="95">
        <v>3550000</v>
      </c>
      <c r="AC60" s="10">
        <v>99.46</v>
      </c>
      <c r="AD60" s="2">
        <f t="shared" si="0"/>
        <v>1.6300000000000097</v>
      </c>
      <c r="AE60" s="138">
        <f t="shared" si="1"/>
        <v>-9.2638709034764677E-3</v>
      </c>
    </row>
    <row r="61" spans="15:31" x14ac:dyDescent="0.25">
      <c r="W61" s="133">
        <v>42669</v>
      </c>
      <c r="X61" s="10">
        <v>101</v>
      </c>
      <c r="Y61" s="10">
        <v>101.82</v>
      </c>
      <c r="Z61" s="10">
        <v>100.75</v>
      </c>
      <c r="AA61" s="10">
        <v>101.01</v>
      </c>
      <c r="AB61" s="95">
        <v>3734100</v>
      </c>
      <c r="AC61" s="10">
        <v>100.39</v>
      </c>
      <c r="AD61" s="2">
        <f t="shared" si="0"/>
        <v>1.0699999999999932</v>
      </c>
      <c r="AE61" s="138">
        <f t="shared" si="1"/>
        <v>-3.4742902521341934E-3</v>
      </c>
    </row>
    <row r="62" spans="15:31" x14ac:dyDescent="0.25">
      <c r="W62" s="133">
        <v>42668</v>
      </c>
      <c r="X62" s="10">
        <v>101.11</v>
      </c>
      <c r="Y62" s="10">
        <v>102.1</v>
      </c>
      <c r="Z62" s="10">
        <v>100.46</v>
      </c>
      <c r="AA62" s="10">
        <v>101.36</v>
      </c>
      <c r="AB62" s="95">
        <v>6752300</v>
      </c>
      <c r="AC62" s="10">
        <v>100.74</v>
      </c>
      <c r="AD62" s="2">
        <f t="shared" si="0"/>
        <v>1.6400000000000006</v>
      </c>
      <c r="AE62" s="138">
        <f t="shared" si="1"/>
        <v>1.8501668183196873E-2</v>
      </c>
    </row>
    <row r="63" spans="15:31" x14ac:dyDescent="0.25">
      <c r="W63" s="133">
        <v>42667</v>
      </c>
      <c r="X63" s="10">
        <v>99.34</v>
      </c>
      <c r="Y63" s="10">
        <v>99.86</v>
      </c>
      <c r="Z63" s="10">
        <v>99.08</v>
      </c>
      <c r="AA63" s="10">
        <v>99.52</v>
      </c>
      <c r="AB63" s="95">
        <v>4288100</v>
      </c>
      <c r="AC63" s="10">
        <v>98.91</v>
      </c>
      <c r="AD63" s="2">
        <f t="shared" si="0"/>
        <v>0.78000000000000114</v>
      </c>
      <c r="AE63" s="138">
        <f t="shared" si="1"/>
        <v>8.565310492505418E-3</v>
      </c>
    </row>
    <row r="64" spans="15:31" x14ac:dyDescent="0.25">
      <c r="W64" s="133">
        <v>42664</v>
      </c>
      <c r="X64" s="10">
        <v>98.38</v>
      </c>
      <c r="Y64" s="10">
        <v>98.78</v>
      </c>
      <c r="Z64" s="10">
        <v>97.62</v>
      </c>
      <c r="AA64" s="10">
        <v>98.67</v>
      </c>
      <c r="AB64" s="95">
        <v>4095000</v>
      </c>
      <c r="AC64" s="10">
        <v>98.07</v>
      </c>
      <c r="AD64" s="2">
        <f t="shared" si="0"/>
        <v>1.1599999999999966</v>
      </c>
      <c r="AE64" s="138">
        <f t="shared" si="1"/>
        <v>-6.1815970814755872E-3</v>
      </c>
    </row>
    <row r="65" spans="23:31" x14ac:dyDescent="0.25">
      <c r="W65" s="133">
        <v>42663</v>
      </c>
      <c r="X65" s="10">
        <v>99.75</v>
      </c>
      <c r="Y65" s="10">
        <v>100.18</v>
      </c>
      <c r="Z65" s="10">
        <v>99.27</v>
      </c>
      <c r="AA65" s="10">
        <v>99.29</v>
      </c>
      <c r="AB65" s="95">
        <v>3876700</v>
      </c>
      <c r="AC65" s="10">
        <v>98.68</v>
      </c>
      <c r="AD65" s="2">
        <f t="shared" si="0"/>
        <v>0.9100000000000108</v>
      </c>
      <c r="AE65" s="138">
        <f t="shared" si="1"/>
        <v>-4.7402924861320583E-3</v>
      </c>
    </row>
    <row r="66" spans="23:31" x14ac:dyDescent="0.25">
      <c r="W66" s="133">
        <v>42662</v>
      </c>
      <c r="X66" s="10">
        <v>100.26</v>
      </c>
      <c r="Y66" s="10">
        <v>100.43</v>
      </c>
      <c r="Z66" s="10">
        <v>99.74</v>
      </c>
      <c r="AA66" s="10">
        <v>99.76</v>
      </c>
      <c r="AB66" s="95">
        <v>4013900</v>
      </c>
      <c r="AC66" s="10">
        <v>99.15</v>
      </c>
      <c r="AD66" s="2">
        <f t="shared" si="0"/>
        <v>0.69000000000001194</v>
      </c>
      <c r="AE66" s="138">
        <f t="shared" si="1"/>
        <v>-2.3143489635740755E-3</v>
      </c>
    </row>
    <row r="67" spans="23:31" x14ac:dyDescent="0.25">
      <c r="W67" s="133">
        <v>42661</v>
      </c>
      <c r="X67" s="10">
        <v>100.49</v>
      </c>
      <c r="Y67" s="10">
        <v>100.58</v>
      </c>
      <c r="Z67" s="10">
        <v>99.68</v>
      </c>
      <c r="AA67" s="10">
        <v>99.99</v>
      </c>
      <c r="AB67" s="95">
        <v>3043800</v>
      </c>
      <c r="AC67" s="10">
        <v>99.38</v>
      </c>
      <c r="AD67" s="2">
        <f>Y67-Z67</f>
        <v>0.89999999999999147</v>
      </c>
      <c r="AE67" s="138">
        <f>AC67/AC68-1</f>
        <v>2.8254288597375776E-3</v>
      </c>
    </row>
    <row r="68" spans="23:31" x14ac:dyDescent="0.25">
      <c r="W68" s="133">
        <v>42660</v>
      </c>
      <c r="X68" s="10">
        <v>100.13</v>
      </c>
      <c r="Y68" s="10">
        <v>100.44</v>
      </c>
      <c r="Z68" s="10">
        <v>99.65</v>
      </c>
      <c r="AA68" s="10">
        <v>99.71</v>
      </c>
      <c r="AB68" s="95">
        <v>2452400</v>
      </c>
      <c r="AC68" s="10">
        <v>99.1</v>
      </c>
      <c r="AD68" s="2">
        <f>Y68-Z68</f>
        <v>0.78999999999999204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159.02000000000001</v>
      </c>
      <c r="Y2" s="10">
        <v>159.80000000000001</v>
      </c>
      <c r="Z2" s="10">
        <v>157.81</v>
      </c>
      <c r="AA2" s="10">
        <v>158.66</v>
      </c>
      <c r="AB2" s="95">
        <v>3503200</v>
      </c>
      <c r="AC2" s="10">
        <v>158.66</v>
      </c>
      <c r="AD2" s="2">
        <f>Y2-Z2</f>
        <v>1.9900000000000091</v>
      </c>
      <c r="AE2" s="138">
        <f>AC2/AC3-1</f>
        <v>-2.5204788909882758E-4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158.66</v>
      </c>
      <c r="W3" s="133">
        <v>42754</v>
      </c>
      <c r="X3" s="10">
        <v>157.74</v>
      </c>
      <c r="Y3" s="10">
        <v>160.55000000000001</v>
      </c>
      <c r="Z3" s="10">
        <v>157.24</v>
      </c>
      <c r="AA3" s="10">
        <v>158.69999999999999</v>
      </c>
      <c r="AB3" s="95">
        <v>4846000</v>
      </c>
      <c r="AC3" s="10">
        <v>158.69999999999999</v>
      </c>
      <c r="AD3" s="2">
        <f t="shared" ref="AD3:AD66" si="0">Y3-Z3</f>
        <v>3.3100000000000023</v>
      </c>
      <c r="AE3" s="138">
        <f t="shared" ref="AE3:AE66" si="1">AC3/AC4-1</f>
        <v>6.085964244959996E-3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158.66</v>
      </c>
      <c r="R4" s="505">
        <v>-2.9999999999999997E-4</v>
      </c>
      <c r="W4" s="133">
        <v>42753</v>
      </c>
      <c r="X4" s="10">
        <v>161.06</v>
      </c>
      <c r="Y4" s="10">
        <v>161.19999999999999</v>
      </c>
      <c r="Z4" s="10">
        <v>156.09</v>
      </c>
      <c r="AA4" s="10">
        <v>157.74</v>
      </c>
      <c r="AB4" s="95">
        <v>6586200</v>
      </c>
      <c r="AC4" s="10">
        <v>157.74</v>
      </c>
      <c r="AD4" s="2">
        <f t="shared" si="0"/>
        <v>5.1099999999999852</v>
      </c>
      <c r="AE4" s="138">
        <f t="shared" si="1"/>
        <v>-1.8175028009460914E-2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162.61000000000001</v>
      </c>
      <c r="Y5" s="10">
        <v>162.97</v>
      </c>
      <c r="Z5" s="10">
        <v>157.51</v>
      </c>
      <c r="AA5" s="10">
        <v>160.66</v>
      </c>
      <c r="AB5" s="95">
        <v>5380800</v>
      </c>
      <c r="AC5" s="10">
        <v>160.66</v>
      </c>
      <c r="AD5" s="2">
        <f t="shared" si="0"/>
        <v>5.460000000000008</v>
      </c>
      <c r="AE5" s="138">
        <f t="shared" si="1"/>
        <v>-7.0457354758962643E-3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162.16</v>
      </c>
      <c r="Y6" s="10">
        <v>162.74</v>
      </c>
      <c r="Z6" s="10">
        <v>161.41</v>
      </c>
      <c r="AA6" s="10">
        <v>161.80000000000001</v>
      </c>
      <c r="AB6" s="95">
        <v>3178900</v>
      </c>
      <c r="AC6" s="10">
        <v>161.80000000000001</v>
      </c>
      <c r="AD6" s="2">
        <f t="shared" si="0"/>
        <v>1.3300000000000125</v>
      </c>
      <c r="AE6" s="138">
        <f t="shared" si="1"/>
        <v>-3.4491254003449212E-3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42747</v>
      </c>
      <c r="X7" s="10">
        <v>161.69</v>
      </c>
      <c r="Y7" s="10">
        <v>162.94</v>
      </c>
      <c r="Z7" s="10">
        <v>160.88999999999999</v>
      </c>
      <c r="AA7" s="10">
        <v>162.36000000000001</v>
      </c>
      <c r="AB7" s="95">
        <v>2545000</v>
      </c>
      <c r="AC7" s="10">
        <v>162.36000000000001</v>
      </c>
      <c r="AD7" s="2">
        <f t="shared" si="0"/>
        <v>2.0500000000000114</v>
      </c>
      <c r="AE7" s="138">
        <f t="shared" si="1"/>
        <v>2.9032058805362748E-3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161.30000000000001</v>
      </c>
      <c r="Y8" s="10">
        <v>162.94</v>
      </c>
      <c r="Z8" s="10">
        <v>160.61000000000001</v>
      </c>
      <c r="AA8" s="10">
        <v>161.88999999999999</v>
      </c>
      <c r="AB8" s="95">
        <v>3318400</v>
      </c>
      <c r="AC8" s="10">
        <v>161.88999999999999</v>
      </c>
      <c r="AD8" s="2">
        <f t="shared" si="0"/>
        <v>2.3299999999999841</v>
      </c>
      <c r="AE8" s="138">
        <f t="shared" si="1"/>
        <v>1.9185542765192132E-3</v>
      </c>
    </row>
    <row r="9" spans="1:43" x14ac:dyDescent="0.25">
      <c r="O9" s="11" t="s">
        <v>215</v>
      </c>
      <c r="Q9" s="138">
        <f>IF(Q2=0, 0, Q8/Q6)</f>
        <v>0</v>
      </c>
      <c r="W9" s="133">
        <v>42745</v>
      </c>
      <c r="X9" s="10">
        <v>161.27000000000001</v>
      </c>
      <c r="Y9" s="10">
        <v>162.97999999999999</v>
      </c>
      <c r="Z9" s="10">
        <v>160.5</v>
      </c>
      <c r="AA9" s="10">
        <v>161.58000000000001</v>
      </c>
      <c r="AB9" s="95">
        <v>3482000</v>
      </c>
      <c r="AC9" s="10">
        <v>161.58000000000001</v>
      </c>
      <c r="AD9" s="2">
        <f t="shared" si="0"/>
        <v>2.4799999999999898</v>
      </c>
      <c r="AE9" s="138">
        <f t="shared" si="1"/>
        <v>-2.2846557579497828E-3</v>
      </c>
    </row>
    <row r="10" spans="1:43" x14ac:dyDescent="0.25">
      <c r="O10" s="11" t="s">
        <v>214</v>
      </c>
      <c r="P10" s="34"/>
      <c r="Q10" s="2">
        <f>M33</f>
        <v>176.70000000000073</v>
      </c>
      <c r="W10" s="133">
        <v>42744</v>
      </c>
      <c r="X10" s="10">
        <v>162</v>
      </c>
      <c r="Y10" s="10">
        <v>162.43</v>
      </c>
      <c r="Z10" s="10">
        <v>160.78</v>
      </c>
      <c r="AA10" s="10">
        <v>161.94999999999999</v>
      </c>
      <c r="AB10" s="95">
        <v>3040800</v>
      </c>
      <c r="AC10" s="10">
        <v>161.94999999999999</v>
      </c>
      <c r="AD10" s="2">
        <f t="shared" si="0"/>
        <v>1.6500000000000057</v>
      </c>
      <c r="AE10" s="138">
        <f t="shared" si="1"/>
        <v>-2.8323379102273005E-3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1.5800000000000002E-2</v>
      </c>
      <c r="W11" s="133">
        <v>42741</v>
      </c>
      <c r="X11" s="10">
        <v>161.75</v>
      </c>
      <c r="Y11" s="10">
        <v>162.94</v>
      </c>
      <c r="Z11" s="10">
        <v>161.11000000000001</v>
      </c>
      <c r="AA11" s="10">
        <v>162.41</v>
      </c>
      <c r="AB11" s="95">
        <v>2727900</v>
      </c>
      <c r="AC11" s="10">
        <v>162.41</v>
      </c>
      <c r="AD11" s="2">
        <f t="shared" si="0"/>
        <v>1.8299999999999841</v>
      </c>
      <c r="AE11" s="138">
        <f t="shared" si="1"/>
        <v>1.4181773338266535E-3</v>
      </c>
    </row>
    <row r="12" spans="1:43" x14ac:dyDescent="0.25">
      <c r="W12" s="133">
        <v>42740</v>
      </c>
      <c r="X12" s="10">
        <v>161.75</v>
      </c>
      <c r="Y12" s="10">
        <v>162.63</v>
      </c>
      <c r="Z12" s="10">
        <v>161.51</v>
      </c>
      <c r="AA12" s="10">
        <v>162.18</v>
      </c>
      <c r="AB12" s="95">
        <v>2675600</v>
      </c>
      <c r="AC12" s="10">
        <v>162.18</v>
      </c>
      <c r="AD12" s="2">
        <f t="shared" si="0"/>
        <v>1.1200000000000045</v>
      </c>
      <c r="AE12" s="138">
        <f t="shared" si="1"/>
        <v>1.6675931072818173E-3</v>
      </c>
    </row>
    <row r="13" spans="1:43" x14ac:dyDescent="0.25">
      <c r="W13" s="133">
        <v>42739</v>
      </c>
      <c r="X13" s="10">
        <v>162.35</v>
      </c>
      <c r="Y13" s="10">
        <v>162.58000000000001</v>
      </c>
      <c r="Z13" s="10">
        <v>159.74</v>
      </c>
      <c r="AA13" s="10">
        <v>161.91</v>
      </c>
      <c r="AB13" s="95">
        <v>2669200</v>
      </c>
      <c r="AC13" s="10">
        <v>161.91</v>
      </c>
      <c r="AD13" s="2">
        <f t="shared" si="0"/>
        <v>2.8400000000000034</v>
      </c>
      <c r="AE13" s="138">
        <f t="shared" si="1"/>
        <v>2.849179312480743E-3</v>
      </c>
    </row>
    <row r="14" spans="1:43" x14ac:dyDescent="0.25">
      <c r="W14" s="133">
        <v>42738</v>
      </c>
      <c r="X14" s="10">
        <v>161.13</v>
      </c>
      <c r="Y14" s="10">
        <v>162.27000000000001</v>
      </c>
      <c r="Z14" s="10">
        <v>159.15</v>
      </c>
      <c r="AA14" s="10">
        <v>161.44999999999999</v>
      </c>
      <c r="AB14" s="95">
        <v>3539700</v>
      </c>
      <c r="AC14" s="10">
        <v>161.44999999999999</v>
      </c>
      <c r="AD14" s="2">
        <f t="shared" si="0"/>
        <v>3.1200000000000045</v>
      </c>
      <c r="AE14" s="138">
        <f t="shared" si="1"/>
        <v>8.8102974256436539E-3</v>
      </c>
    </row>
    <row r="15" spans="1:43" x14ac:dyDescent="0.25">
      <c r="W15" s="133">
        <v>42734</v>
      </c>
      <c r="X15" s="10">
        <v>161.37</v>
      </c>
      <c r="Y15" s="10">
        <v>161.47999999999999</v>
      </c>
      <c r="Z15" s="10">
        <v>159.85</v>
      </c>
      <c r="AA15" s="10">
        <v>160.04</v>
      </c>
      <c r="AB15" s="95">
        <v>2845500</v>
      </c>
      <c r="AC15" s="10">
        <v>160.04</v>
      </c>
      <c r="AD15" s="2">
        <f t="shared" si="0"/>
        <v>1.6299999999999955</v>
      </c>
      <c r="AE15" s="138">
        <f t="shared" si="1"/>
        <v>-6.2096373571783881E-3</v>
      </c>
    </row>
    <row r="16" spans="1:43" x14ac:dyDescent="0.25">
      <c r="W16" s="133">
        <v>42733</v>
      </c>
      <c r="X16" s="10">
        <v>161.91999999999999</v>
      </c>
      <c r="Y16" s="10">
        <v>162.36000000000001</v>
      </c>
      <c r="Z16" s="10">
        <v>160.38999999999999</v>
      </c>
      <c r="AA16" s="10">
        <v>161.04</v>
      </c>
      <c r="AB16" s="95">
        <v>2472100</v>
      </c>
      <c r="AC16" s="10">
        <v>161.04</v>
      </c>
      <c r="AD16" s="2">
        <f t="shared" si="0"/>
        <v>1.9700000000000273</v>
      </c>
      <c r="AE16" s="138">
        <f t="shared" si="1"/>
        <v>-2.4777006937561907E-3</v>
      </c>
    </row>
    <row r="17" spans="1:31" x14ac:dyDescent="0.25">
      <c r="W17" s="133">
        <v>42732</v>
      </c>
      <c r="X17" s="10">
        <v>162.16</v>
      </c>
      <c r="Y17" s="10">
        <v>163.25</v>
      </c>
      <c r="Z17" s="10">
        <v>161.32</v>
      </c>
      <c r="AA17" s="10">
        <v>161.44</v>
      </c>
      <c r="AB17" s="95">
        <v>1622500</v>
      </c>
      <c r="AC17" s="10">
        <v>161.44</v>
      </c>
      <c r="AD17" s="2">
        <f t="shared" si="0"/>
        <v>1.9300000000000068</v>
      </c>
      <c r="AE17" s="138">
        <f t="shared" si="1"/>
        <v>-7.3782587309394465E-3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42731</v>
      </c>
      <c r="X18" s="10">
        <v>163.26</v>
      </c>
      <c r="Y18" s="10">
        <v>163.96</v>
      </c>
      <c r="Z18" s="10">
        <v>162.44999999999999</v>
      </c>
      <c r="AA18" s="10">
        <v>162.63999999999999</v>
      </c>
      <c r="AB18" s="95">
        <v>1327900</v>
      </c>
      <c r="AC18" s="10">
        <v>162.63999999999999</v>
      </c>
      <c r="AD18" s="2">
        <f t="shared" si="0"/>
        <v>1.5100000000000193</v>
      </c>
      <c r="AE18" s="138">
        <f t="shared" si="1"/>
        <v>-2.3921977550145357E-3</v>
      </c>
    </row>
    <row r="19" spans="1:31" x14ac:dyDescent="0.25">
      <c r="W19" s="133">
        <v>42727</v>
      </c>
      <c r="X19" s="10">
        <v>161.56</v>
      </c>
      <c r="Y19" s="10">
        <v>163.04</v>
      </c>
      <c r="Z19" s="10">
        <v>160.55000000000001</v>
      </c>
      <c r="AA19" s="10">
        <v>163.03</v>
      </c>
      <c r="AB19" s="95">
        <v>2044400</v>
      </c>
      <c r="AC19" s="10">
        <v>163.03</v>
      </c>
      <c r="AD19" s="2">
        <f t="shared" si="0"/>
        <v>2.4899999999999807</v>
      </c>
      <c r="AE19" s="138">
        <f t="shared" si="1"/>
        <v>8.9738829063001901E-3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161.38999999999999</v>
      </c>
      <c r="Y20" s="10">
        <v>161.88</v>
      </c>
      <c r="Z20" s="10">
        <v>160.27000000000001</v>
      </c>
      <c r="AA20" s="10">
        <v>161.58000000000001</v>
      </c>
      <c r="AB20" s="95">
        <v>2741700</v>
      </c>
      <c r="AC20" s="10">
        <v>161.58000000000001</v>
      </c>
      <c r="AD20" s="2">
        <f t="shared" si="0"/>
        <v>1.6099999999999852</v>
      </c>
      <c r="AE20" s="138">
        <f t="shared" si="1"/>
        <v>1.5496187937766859E-3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42725</v>
      </c>
      <c r="X21" s="10">
        <v>161.41999999999999</v>
      </c>
      <c r="Y21" s="10">
        <v>162.29</v>
      </c>
      <c r="Z21" s="10">
        <v>159.62</v>
      </c>
      <c r="AA21" s="10">
        <v>161.33000000000001</v>
      </c>
      <c r="AB21" s="95">
        <v>2767700</v>
      </c>
      <c r="AC21" s="10">
        <v>161.33000000000001</v>
      </c>
      <c r="AD21" s="2">
        <f t="shared" si="0"/>
        <v>2.6699999999999875</v>
      </c>
      <c r="AE21" s="138">
        <f t="shared" si="1"/>
        <v>-1.6090104585678722E-3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42724</v>
      </c>
      <c r="X22" s="10">
        <v>161.71</v>
      </c>
      <c r="Y22" s="10">
        <v>163.11000000000001</v>
      </c>
      <c r="Z22" s="10">
        <v>161.41</v>
      </c>
      <c r="AA22" s="10">
        <v>161.59</v>
      </c>
      <c r="AB22" s="95">
        <v>3127800</v>
      </c>
      <c r="AC22" s="10">
        <v>161.59</v>
      </c>
      <c r="AD22" s="2">
        <f t="shared" si="0"/>
        <v>1.7000000000000171</v>
      </c>
      <c r="AE22" s="138">
        <f t="shared" si="1"/>
        <v>3.0952086170610293E-4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42723</v>
      </c>
      <c r="X23" s="10">
        <v>163.09</v>
      </c>
      <c r="Y23" s="10">
        <v>163.94</v>
      </c>
      <c r="Z23" s="10">
        <v>161.22</v>
      </c>
      <c r="AA23" s="10">
        <v>161.54</v>
      </c>
      <c r="AB23" s="95">
        <v>4720900</v>
      </c>
      <c r="AC23" s="10">
        <v>161.54</v>
      </c>
      <c r="AD23" s="2">
        <f t="shared" si="0"/>
        <v>2.7199999999999989</v>
      </c>
      <c r="AE23" s="138">
        <f t="shared" si="1"/>
        <v>-1.4639502256923342E-2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42720</v>
      </c>
      <c r="X24" s="10">
        <v>161.38</v>
      </c>
      <c r="Y24" s="10">
        <v>164</v>
      </c>
      <c r="Z24" s="10">
        <v>161.19</v>
      </c>
      <c r="AA24" s="10">
        <v>163.94</v>
      </c>
      <c r="AB24" s="95">
        <v>6957500</v>
      </c>
      <c r="AC24" s="10">
        <v>163.94</v>
      </c>
      <c r="AD24" s="2">
        <f t="shared" si="0"/>
        <v>2.8100000000000023</v>
      </c>
      <c r="AE24" s="138">
        <f t="shared" si="1"/>
        <v>2.0669904121529026E-2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42719</v>
      </c>
      <c r="X25" s="10">
        <v>159.87</v>
      </c>
      <c r="Y25" s="10">
        <v>161.29</v>
      </c>
      <c r="Z25" s="10">
        <v>159.43</v>
      </c>
      <c r="AA25" s="10">
        <v>160.62</v>
      </c>
      <c r="AB25" s="95">
        <v>4422700</v>
      </c>
      <c r="AC25" s="10">
        <v>160.62</v>
      </c>
      <c r="AD25" s="2">
        <f t="shared" si="0"/>
        <v>1.8599999999999852</v>
      </c>
      <c r="AE25" s="138">
        <f t="shared" si="1"/>
        <v>4.7541598899036863E-3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42718</v>
      </c>
      <c r="X26" s="10">
        <v>161.13999999999999</v>
      </c>
      <c r="Y26" s="10">
        <v>161.80000000000001</v>
      </c>
      <c r="Z26" s="10">
        <v>158.72</v>
      </c>
      <c r="AA26" s="10">
        <v>159.86000000000001</v>
      </c>
      <c r="AB26" s="95">
        <v>3793700</v>
      </c>
      <c r="AC26" s="10">
        <v>159.86000000000001</v>
      </c>
      <c r="AD26" s="2">
        <f t="shared" si="0"/>
        <v>3.0800000000000125</v>
      </c>
      <c r="AE26" s="138">
        <f t="shared" si="1"/>
        <v>-4.2357044973213576E-3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42717</v>
      </c>
      <c r="X27" s="10">
        <v>160.4</v>
      </c>
      <c r="Y27" s="10">
        <v>161.71</v>
      </c>
      <c r="Z27" s="10">
        <v>160.07</v>
      </c>
      <c r="AA27" s="10">
        <v>160.54</v>
      </c>
      <c r="AB27" s="95">
        <v>3785600</v>
      </c>
      <c r="AC27" s="10">
        <v>160.54</v>
      </c>
      <c r="AD27" s="2">
        <f t="shared" si="0"/>
        <v>1.6400000000000148</v>
      </c>
      <c r="AE27" s="138">
        <f t="shared" si="1"/>
        <v>6.5834848579846561E-3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42716</v>
      </c>
      <c r="X28" s="10">
        <v>158.83000000000001</v>
      </c>
      <c r="Y28" s="10">
        <v>159.66</v>
      </c>
      <c r="Z28" s="10">
        <v>157.75</v>
      </c>
      <c r="AA28" s="10">
        <v>159.49</v>
      </c>
      <c r="AB28" s="95">
        <v>3471200</v>
      </c>
      <c r="AC28" s="10">
        <v>159.49</v>
      </c>
      <c r="AD28" s="2">
        <f t="shared" si="0"/>
        <v>1.9099999999999966</v>
      </c>
      <c r="AE28" s="138">
        <f t="shared" si="1"/>
        <v>-3.934549088183803E-3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42713</v>
      </c>
      <c r="X29" s="10">
        <v>159.52000000000001</v>
      </c>
      <c r="Y29" s="10">
        <v>160.16</v>
      </c>
      <c r="Z29" s="10">
        <v>157.71</v>
      </c>
      <c r="AA29" s="10">
        <v>160.12</v>
      </c>
      <c r="AB29" s="95">
        <v>4004000</v>
      </c>
      <c r="AC29" s="10">
        <v>160.12</v>
      </c>
      <c r="AD29" s="2">
        <f t="shared" si="0"/>
        <v>2.4499999999999886</v>
      </c>
      <c r="AE29" s="138">
        <f t="shared" si="1"/>
        <v>5.0213406979664477E-3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42712</v>
      </c>
      <c r="X30" s="10">
        <v>159.41</v>
      </c>
      <c r="Y30" s="10">
        <v>160.24</v>
      </c>
      <c r="Z30" s="10">
        <v>158</v>
      </c>
      <c r="AA30" s="10">
        <v>159.32</v>
      </c>
      <c r="AB30" s="95">
        <v>3405800</v>
      </c>
      <c r="AC30" s="10">
        <v>159.32</v>
      </c>
      <c r="AD30" s="2">
        <f t="shared" si="0"/>
        <v>2.2400000000000091</v>
      </c>
      <c r="AE30" s="138">
        <f t="shared" si="1"/>
        <v>-5.0188205771650729E-4</v>
      </c>
    </row>
    <row r="31" spans="1:31" x14ac:dyDescent="0.25">
      <c r="G31" s="3"/>
      <c r="H31" s="233"/>
      <c r="W31" s="133">
        <v>42711</v>
      </c>
      <c r="X31" s="10">
        <v>157.88999999999999</v>
      </c>
      <c r="Y31" s="10">
        <v>159.97999999999999</v>
      </c>
      <c r="Z31" s="10">
        <v>156.35</v>
      </c>
      <c r="AA31" s="10">
        <v>159.4</v>
      </c>
      <c r="AB31" s="95">
        <v>4494600</v>
      </c>
      <c r="AC31" s="10">
        <v>159.4</v>
      </c>
      <c r="AD31" s="2">
        <f t="shared" si="0"/>
        <v>3.6299999999999955</v>
      </c>
      <c r="AE31" s="138">
        <f t="shared" si="1"/>
        <v>1.3221459445715844E-2</v>
      </c>
    </row>
    <row r="32" spans="1:31" x14ac:dyDescent="0.25">
      <c r="W32" s="133">
        <v>42710</v>
      </c>
      <c r="X32" s="10">
        <v>158.16999999999999</v>
      </c>
      <c r="Y32" s="10">
        <v>158.22999999999999</v>
      </c>
      <c r="Z32" s="10">
        <v>156.26</v>
      </c>
      <c r="AA32" s="10">
        <v>157.32</v>
      </c>
      <c r="AB32" s="95">
        <v>3179200</v>
      </c>
      <c r="AC32" s="10">
        <v>157.32</v>
      </c>
      <c r="AD32" s="2">
        <f t="shared" si="0"/>
        <v>1.9699999999999989</v>
      </c>
      <c r="AE32" s="138">
        <f t="shared" si="1"/>
        <v>-1.9666307175030262E-3</v>
      </c>
    </row>
    <row r="33" spans="1:31" x14ac:dyDescent="0.25">
      <c r="L33" t="s">
        <v>214</v>
      </c>
      <c r="M33" s="2">
        <f>M44+K44-F44</f>
        <v>176.70000000000073</v>
      </c>
      <c r="W33" s="133">
        <v>42709</v>
      </c>
      <c r="X33" s="10">
        <v>160.19</v>
      </c>
      <c r="Y33" s="10">
        <v>160.66999999999999</v>
      </c>
      <c r="Z33" s="10">
        <v>156.22999999999999</v>
      </c>
      <c r="AA33" s="10">
        <v>157.63</v>
      </c>
      <c r="AB33" s="95">
        <v>5818600</v>
      </c>
      <c r="AC33" s="10">
        <v>157.63</v>
      </c>
      <c r="AD33" s="2">
        <f t="shared" si="0"/>
        <v>4.4399999999999977</v>
      </c>
      <c r="AE33" s="138">
        <f t="shared" si="1"/>
        <v>-1.9287003048590767E-2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42706</v>
      </c>
      <c r="X34" s="10">
        <v>161</v>
      </c>
      <c r="Y34" s="10">
        <v>162.52000000000001</v>
      </c>
      <c r="Z34" s="10">
        <v>160.56</v>
      </c>
      <c r="AA34" s="10">
        <v>160.72999999999999</v>
      </c>
      <c r="AB34" s="95">
        <v>3476000</v>
      </c>
      <c r="AC34" s="10">
        <v>160.72999999999999</v>
      </c>
      <c r="AD34" s="2">
        <f t="shared" si="0"/>
        <v>1.960000000000008</v>
      </c>
      <c r="AE34" s="138">
        <f t="shared" si="1"/>
        <v>-1.3048340996645313E-3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42705</v>
      </c>
      <c r="X35" s="10">
        <v>159.12</v>
      </c>
      <c r="Y35" s="10">
        <v>161.72</v>
      </c>
      <c r="Z35" s="10">
        <v>159.12</v>
      </c>
      <c r="AA35" s="10">
        <v>160.94</v>
      </c>
      <c r="AB35" s="95">
        <v>5198500</v>
      </c>
      <c r="AC35" s="10">
        <v>160.94</v>
      </c>
      <c r="AD35" s="2">
        <f t="shared" si="0"/>
        <v>2.5999999999999943</v>
      </c>
      <c r="AE35" s="138">
        <f t="shared" si="1"/>
        <v>1.6548762001010742E-2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42704</v>
      </c>
      <c r="X36" s="10">
        <v>157.47</v>
      </c>
      <c r="Y36" s="10">
        <v>159.76</v>
      </c>
      <c r="Z36" s="10">
        <v>157.07</v>
      </c>
      <c r="AA36" s="10">
        <v>158.32</v>
      </c>
      <c r="AB36" s="95">
        <v>6939500</v>
      </c>
      <c r="AC36" s="10">
        <v>158.32</v>
      </c>
      <c r="AD36" s="2">
        <f t="shared" si="0"/>
        <v>2.6899999999999977</v>
      </c>
      <c r="AE36" s="138" t="e">
        <f t="shared" si="1"/>
        <v>#DIV/0!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42704</v>
      </c>
      <c r="X37" s="10" t="s">
        <v>658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42703</v>
      </c>
      <c r="X38" s="10">
        <v>156.94</v>
      </c>
      <c r="Y38" s="10">
        <v>158.12</v>
      </c>
      <c r="Z38" s="10">
        <v>155.18</v>
      </c>
      <c r="AA38" s="10">
        <v>157.59</v>
      </c>
      <c r="AB38" s="95">
        <v>5827400</v>
      </c>
      <c r="AC38" s="10">
        <v>156.96</v>
      </c>
      <c r="AD38" s="2">
        <f t="shared" si="0"/>
        <v>2.9399999999999977</v>
      </c>
      <c r="AE38" s="138">
        <f t="shared" si="1"/>
        <v>3.5971223021582954E-2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42702</v>
      </c>
      <c r="X39" s="10">
        <v>152.74</v>
      </c>
      <c r="Y39" s="10">
        <v>152.85</v>
      </c>
      <c r="Z39" s="10">
        <v>150</v>
      </c>
      <c r="AA39" s="10">
        <v>152.11000000000001</v>
      </c>
      <c r="AB39" s="95">
        <v>5029600</v>
      </c>
      <c r="AC39" s="10">
        <v>151.51</v>
      </c>
      <c r="AD39" s="2">
        <f t="shared" si="0"/>
        <v>2.8499999999999943</v>
      </c>
      <c r="AE39" s="138">
        <f t="shared" si="1"/>
        <v>-4.5335085413928944E-3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42699</v>
      </c>
      <c r="X40" s="10">
        <v>153.93</v>
      </c>
      <c r="Y40" s="10">
        <v>154.5</v>
      </c>
      <c r="Z40" s="10">
        <v>152.61000000000001</v>
      </c>
      <c r="AA40" s="10">
        <v>152.81</v>
      </c>
      <c r="AB40" s="95">
        <v>1664500</v>
      </c>
      <c r="AC40" s="10">
        <v>152.19999999999999</v>
      </c>
      <c r="AD40" s="2">
        <f t="shared" si="0"/>
        <v>1.8899999999999864</v>
      </c>
      <c r="AE40" s="138">
        <f t="shared" si="1"/>
        <v>-4.7734257503434518E-3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2" t="s">
        <v>78</v>
      </c>
      <c r="P41" s="632"/>
      <c r="Q41" s="34"/>
      <c r="W41" s="133">
        <v>42697</v>
      </c>
      <c r="X41" s="10">
        <v>152.01</v>
      </c>
      <c r="Y41" s="10">
        <v>153.74</v>
      </c>
      <c r="Z41" s="10">
        <v>150.96</v>
      </c>
      <c r="AA41" s="10">
        <v>153.54</v>
      </c>
      <c r="AB41" s="95">
        <v>2697200</v>
      </c>
      <c r="AC41" s="10">
        <v>152.93</v>
      </c>
      <c r="AD41" s="2">
        <f t="shared" si="0"/>
        <v>2.7800000000000011</v>
      </c>
      <c r="AE41" s="138">
        <f t="shared" si="1"/>
        <v>8.3739944612950534E-3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174.52600000000001</v>
      </c>
      <c r="Q42" s="34"/>
      <c r="T42" s="91" t="s">
        <v>113</v>
      </c>
      <c r="W42" s="133">
        <v>42696</v>
      </c>
      <c r="X42" s="10">
        <v>151.08000000000001</v>
      </c>
      <c r="Y42" s="10">
        <v>152.93</v>
      </c>
      <c r="Z42" s="10">
        <v>150.56</v>
      </c>
      <c r="AA42" s="10">
        <v>152.26</v>
      </c>
      <c r="AB42" s="95">
        <v>4992100</v>
      </c>
      <c r="AC42" s="10">
        <v>151.66</v>
      </c>
      <c r="AD42" s="2">
        <f t="shared" si="0"/>
        <v>2.3700000000000045</v>
      </c>
      <c r="AE42" s="138">
        <f t="shared" si="1"/>
        <v>1.2348975368800419E-2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172.93940000000001</v>
      </c>
      <c r="Q43" s="34"/>
      <c r="T43" s="128" t="s">
        <v>98</v>
      </c>
      <c r="U43" s="98">
        <v>158.69999999999999</v>
      </c>
      <c r="W43" s="133">
        <v>42695</v>
      </c>
      <c r="X43" s="10">
        <v>149.72</v>
      </c>
      <c r="Y43" s="10">
        <v>150.66</v>
      </c>
      <c r="Z43" s="10">
        <v>148.56</v>
      </c>
      <c r="AA43" s="10">
        <v>150.41</v>
      </c>
      <c r="AB43" s="95">
        <v>3867800</v>
      </c>
      <c r="AC43" s="10">
        <v>149.81</v>
      </c>
      <c r="AD43" s="2">
        <f t="shared" si="0"/>
        <v>2.0999999999999943</v>
      </c>
      <c r="AE43" s="138">
        <f t="shared" si="1"/>
        <v>6.3818352814724033E-3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171.3528</v>
      </c>
      <c r="Q44" s="34"/>
      <c r="T44" s="93" t="s">
        <v>99</v>
      </c>
      <c r="U44" s="88">
        <v>158.99</v>
      </c>
      <c r="W44" s="133">
        <v>42692</v>
      </c>
      <c r="X44" s="10">
        <v>151.05000000000001</v>
      </c>
      <c r="Y44" s="10">
        <v>151.66</v>
      </c>
      <c r="Z44" s="10">
        <v>149.4</v>
      </c>
      <c r="AA44" s="10">
        <v>149.44999999999999</v>
      </c>
      <c r="AB44" s="95">
        <v>5664800</v>
      </c>
      <c r="AC44" s="10">
        <v>148.86000000000001</v>
      </c>
      <c r="AD44" s="2">
        <f t="shared" si="0"/>
        <v>2.2599999999999909</v>
      </c>
      <c r="AE44" s="138">
        <f t="shared" si="1"/>
        <v>-8.7234467603380939E-3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169.7662</v>
      </c>
      <c r="Q45" s="83"/>
      <c r="T45" s="93" t="s">
        <v>100</v>
      </c>
      <c r="U45" s="88" t="s">
        <v>129</v>
      </c>
      <c r="W45" s="133">
        <v>42691</v>
      </c>
      <c r="X45" s="10">
        <v>151.82</v>
      </c>
      <c r="Y45" s="10">
        <v>151.91999999999999</v>
      </c>
      <c r="Z45" s="10">
        <v>150.19</v>
      </c>
      <c r="AA45" s="10">
        <v>150.77000000000001</v>
      </c>
      <c r="AB45" s="95">
        <v>4683000</v>
      </c>
      <c r="AC45" s="10">
        <v>150.16999999999999</v>
      </c>
      <c r="AD45" s="2">
        <f t="shared" si="0"/>
        <v>1.7299999999999898</v>
      </c>
      <c r="AE45" s="138">
        <f t="shared" si="1"/>
        <v>-4.837640821736322E-3</v>
      </c>
    </row>
    <row r="46" spans="1:31" x14ac:dyDescent="0.25">
      <c r="O46" s="83">
        <v>1.06</v>
      </c>
      <c r="P46" s="83">
        <f t="shared" si="5"/>
        <v>168.17959999999999</v>
      </c>
      <c r="Q46" s="83"/>
      <c r="T46" s="93" t="s">
        <v>101</v>
      </c>
      <c r="U46" s="88" t="s">
        <v>129</v>
      </c>
      <c r="W46" s="133">
        <v>42690</v>
      </c>
      <c r="X46" s="10">
        <v>151.99</v>
      </c>
      <c r="Y46" s="10">
        <v>153</v>
      </c>
      <c r="Z46" s="10">
        <v>151.22999999999999</v>
      </c>
      <c r="AA46" s="10">
        <v>151.5</v>
      </c>
      <c r="AB46" s="95">
        <v>3899000</v>
      </c>
      <c r="AC46" s="10">
        <v>150.9</v>
      </c>
      <c r="AD46" s="2">
        <f t="shared" si="0"/>
        <v>1.7700000000000102</v>
      </c>
      <c r="AE46" s="138">
        <f t="shared" si="1"/>
        <v>-4.8143507221525272E-3</v>
      </c>
    </row>
    <row r="47" spans="1:31" x14ac:dyDescent="0.25">
      <c r="O47" s="83">
        <v>1.05</v>
      </c>
      <c r="P47" s="83">
        <f t="shared" si="5"/>
        <v>166.59299999999999</v>
      </c>
      <c r="Q47" s="83"/>
      <c r="T47" s="93" t="s">
        <v>102</v>
      </c>
      <c r="U47" s="88">
        <v>183.19</v>
      </c>
      <c r="W47" s="133">
        <v>42689</v>
      </c>
      <c r="X47" s="10">
        <v>153.51</v>
      </c>
      <c r="Y47" s="10">
        <v>153.96</v>
      </c>
      <c r="Z47" s="10">
        <v>151.51</v>
      </c>
      <c r="AA47" s="10">
        <v>152.22999999999999</v>
      </c>
      <c r="AB47" s="95">
        <v>4910700</v>
      </c>
      <c r="AC47" s="10">
        <v>151.63</v>
      </c>
      <c r="AD47" s="2">
        <f t="shared" si="0"/>
        <v>2.4500000000000171</v>
      </c>
      <c r="AE47" s="138">
        <f t="shared" si="1"/>
        <v>-3.2964135021107399E-4</v>
      </c>
    </row>
    <row r="48" spans="1:31" x14ac:dyDescent="0.25">
      <c r="O48" s="83">
        <v>1.04</v>
      </c>
      <c r="P48" s="83">
        <f t="shared" si="5"/>
        <v>165.00640000000001</v>
      </c>
      <c r="Q48" s="83"/>
      <c r="T48" s="93" t="s">
        <v>103</v>
      </c>
      <c r="U48" s="88">
        <v>0.703488</v>
      </c>
      <c r="W48" s="133">
        <v>42688</v>
      </c>
      <c r="X48" s="10">
        <v>147.32</v>
      </c>
      <c r="Y48" s="10">
        <v>152.91999999999999</v>
      </c>
      <c r="Z48" s="10">
        <v>147.04</v>
      </c>
      <c r="AA48" s="10">
        <v>152.28</v>
      </c>
      <c r="AB48" s="95">
        <v>5740400</v>
      </c>
      <c r="AC48" s="10">
        <v>151.68</v>
      </c>
      <c r="AD48" s="2">
        <f t="shared" si="0"/>
        <v>5.8799999999999955</v>
      </c>
      <c r="AE48" s="138">
        <f t="shared" si="1"/>
        <v>4.0043883708173356E-2</v>
      </c>
    </row>
    <row r="49" spans="15:31" x14ac:dyDescent="0.25">
      <c r="O49" s="83">
        <v>1.03</v>
      </c>
      <c r="P49" s="83">
        <f t="shared" si="5"/>
        <v>163.41980000000001</v>
      </c>
      <c r="Q49" s="83"/>
      <c r="T49" s="93" t="s">
        <v>104</v>
      </c>
      <c r="U49" s="88" t="s">
        <v>129</v>
      </c>
      <c r="W49" s="133">
        <v>42685</v>
      </c>
      <c r="X49" s="10">
        <v>146.71</v>
      </c>
      <c r="Y49" s="10">
        <v>147.5</v>
      </c>
      <c r="Z49" s="10">
        <v>146.01</v>
      </c>
      <c r="AA49" s="10">
        <v>146.41999999999999</v>
      </c>
      <c r="AB49" s="95">
        <v>4475400</v>
      </c>
      <c r="AC49" s="10">
        <v>145.84</v>
      </c>
      <c r="AD49" s="2">
        <f t="shared" si="0"/>
        <v>1.4900000000000091</v>
      </c>
      <c r="AE49" s="138">
        <f t="shared" si="1"/>
        <v>1.9924424596358126E-3</v>
      </c>
    </row>
    <row r="50" spans="15:31" x14ac:dyDescent="0.25">
      <c r="O50" s="83">
        <v>1.02</v>
      </c>
      <c r="P50" s="83">
        <f t="shared" si="5"/>
        <v>161.83320000000001</v>
      </c>
      <c r="Q50" s="83"/>
      <c r="T50" s="93"/>
      <c r="U50" s="88"/>
      <c r="W50" s="133">
        <v>42684</v>
      </c>
      <c r="X50" s="10">
        <v>142.34</v>
      </c>
      <c r="Y50" s="10">
        <v>146.57</v>
      </c>
      <c r="Z50" s="10">
        <v>142</v>
      </c>
      <c r="AA50" s="10">
        <v>146.13</v>
      </c>
      <c r="AB50" s="95">
        <v>6075500</v>
      </c>
      <c r="AC50" s="10">
        <v>145.55000000000001</v>
      </c>
      <c r="AD50" s="2">
        <f t="shared" si="0"/>
        <v>4.5699999999999932</v>
      </c>
      <c r="AE50" s="138">
        <f t="shared" si="1"/>
        <v>2.9786330833451391E-2</v>
      </c>
    </row>
    <row r="51" spans="15:31" x14ac:dyDescent="0.25">
      <c r="O51" s="83">
        <v>1.01</v>
      </c>
      <c r="P51" s="83">
        <f t="shared" si="5"/>
        <v>160.2466</v>
      </c>
      <c r="Q51" s="83"/>
      <c r="T51" s="93" t="s">
        <v>105</v>
      </c>
      <c r="U51" s="88" t="s">
        <v>606</v>
      </c>
      <c r="W51" s="133">
        <v>42683</v>
      </c>
      <c r="X51" s="10">
        <v>139.54</v>
      </c>
      <c r="Y51" s="10">
        <v>144.19</v>
      </c>
      <c r="Z51" s="10">
        <v>136.22</v>
      </c>
      <c r="AA51" s="10">
        <v>141.9</v>
      </c>
      <c r="AB51" s="95">
        <v>8042400</v>
      </c>
      <c r="AC51" s="10">
        <v>141.34</v>
      </c>
      <c r="AD51" s="2">
        <f t="shared" si="0"/>
        <v>7.9699999999999989</v>
      </c>
      <c r="AE51" s="138">
        <f t="shared" si="1"/>
        <v>-6.9556664090494325E-3</v>
      </c>
    </row>
    <row r="52" spans="15:31" x14ac:dyDescent="0.25">
      <c r="O52" s="83">
        <v>1</v>
      </c>
      <c r="P52" s="83">
        <f t="shared" si="5"/>
        <v>158.66</v>
      </c>
      <c r="Q52" s="83"/>
      <c r="T52" s="93" t="s">
        <v>106</v>
      </c>
      <c r="U52" s="88" t="s">
        <v>437</v>
      </c>
      <c r="W52" s="133">
        <v>42682</v>
      </c>
      <c r="X52" s="10">
        <v>141.35</v>
      </c>
      <c r="Y52" s="10">
        <v>143.61000000000001</v>
      </c>
      <c r="Z52" s="10">
        <v>141</v>
      </c>
      <c r="AA52" s="10">
        <v>142.9</v>
      </c>
      <c r="AB52" s="95">
        <v>4389300</v>
      </c>
      <c r="AC52" s="10">
        <v>142.33000000000001</v>
      </c>
      <c r="AD52" s="2">
        <f t="shared" si="0"/>
        <v>2.6100000000000136</v>
      </c>
      <c r="AE52" s="138">
        <f t="shared" si="1"/>
        <v>6.7906910942916454E-3</v>
      </c>
    </row>
    <row r="53" spans="15:31" x14ac:dyDescent="0.25">
      <c r="O53" s="83">
        <v>0.99</v>
      </c>
      <c r="P53" s="83">
        <f t="shared" si="5"/>
        <v>157.07339999999999</v>
      </c>
      <c r="Q53" s="83"/>
      <c r="T53" s="93" t="s">
        <v>107</v>
      </c>
      <c r="U53" s="90">
        <v>3579145</v>
      </c>
      <c r="W53" s="133">
        <v>42681</v>
      </c>
      <c r="X53" s="10">
        <v>139.6</v>
      </c>
      <c r="Y53" s="10">
        <v>142.44</v>
      </c>
      <c r="Z53" s="10">
        <v>139.55000000000001</v>
      </c>
      <c r="AA53" s="10">
        <v>141.93</v>
      </c>
      <c r="AB53" s="95">
        <v>3896600</v>
      </c>
      <c r="AC53" s="10">
        <v>141.37</v>
      </c>
      <c r="AD53" s="2">
        <f t="shared" si="0"/>
        <v>2.8899999999999864</v>
      </c>
      <c r="AE53" s="138">
        <f t="shared" si="1"/>
        <v>3.0694079906678384E-2</v>
      </c>
    </row>
    <row r="54" spans="15:31" x14ac:dyDescent="0.25">
      <c r="O54" s="83">
        <v>0.98</v>
      </c>
      <c r="P54" s="83">
        <f t="shared" si="5"/>
        <v>155.48679999999999</v>
      </c>
      <c r="Q54" s="83"/>
      <c r="T54" s="93" t="s">
        <v>110</v>
      </c>
      <c r="U54" s="90">
        <v>3957600</v>
      </c>
      <c r="W54" s="133">
        <v>42678</v>
      </c>
      <c r="X54" s="10">
        <v>138.44999999999999</v>
      </c>
      <c r="Y54" s="10">
        <v>138.88999999999999</v>
      </c>
      <c r="Z54" s="10">
        <v>137.69</v>
      </c>
      <c r="AA54" s="10">
        <v>137.71</v>
      </c>
      <c r="AB54" s="95">
        <v>3520700</v>
      </c>
      <c r="AC54" s="10">
        <v>137.16</v>
      </c>
      <c r="AD54" s="2">
        <f t="shared" si="0"/>
        <v>1.1999999999999886</v>
      </c>
      <c r="AE54" s="138">
        <f t="shared" si="1"/>
        <v>-8.7412587412594167E-4</v>
      </c>
    </row>
    <row r="55" spans="15:31" x14ac:dyDescent="0.25">
      <c r="O55" s="83">
        <v>0.97</v>
      </c>
      <c r="P55" s="83">
        <f t="shared" si="5"/>
        <v>153.90019999999998</v>
      </c>
      <c r="Q55" s="83"/>
      <c r="T55" s="93" t="s">
        <v>108</v>
      </c>
      <c r="U55" s="88" t="s">
        <v>607</v>
      </c>
      <c r="W55" s="133">
        <v>42677</v>
      </c>
      <c r="X55" s="10">
        <v>139.18</v>
      </c>
      <c r="Y55" s="10">
        <v>140.34</v>
      </c>
      <c r="Z55" s="10">
        <v>137.65</v>
      </c>
      <c r="AA55" s="10">
        <v>137.83000000000001</v>
      </c>
      <c r="AB55" s="95">
        <v>2989700</v>
      </c>
      <c r="AC55" s="10">
        <v>137.28</v>
      </c>
      <c r="AD55" s="2">
        <f t="shared" si="0"/>
        <v>2.6899999999999977</v>
      </c>
      <c r="AE55" s="138">
        <f t="shared" si="1"/>
        <v>-8.3074478075562119E-3</v>
      </c>
    </row>
    <row r="56" spans="15:31" x14ac:dyDescent="0.25">
      <c r="O56" s="83">
        <v>0.96</v>
      </c>
      <c r="P56" s="83">
        <f t="shared" si="5"/>
        <v>152.31359999999998</v>
      </c>
      <c r="Q56" s="83"/>
      <c r="T56" s="93" t="s">
        <v>111</v>
      </c>
      <c r="U56" s="88">
        <v>21.22</v>
      </c>
      <c r="W56" s="133">
        <v>42676</v>
      </c>
      <c r="X56" s="10">
        <v>139.02000000000001</v>
      </c>
      <c r="Y56" s="10">
        <v>141.22999999999999</v>
      </c>
      <c r="Z56" s="10">
        <v>138.93</v>
      </c>
      <c r="AA56" s="10">
        <v>138.97999999999999</v>
      </c>
      <c r="AB56" s="95">
        <v>3149700</v>
      </c>
      <c r="AC56" s="10">
        <v>138.43</v>
      </c>
      <c r="AD56" s="2">
        <f t="shared" si="0"/>
        <v>2.2999999999999829</v>
      </c>
      <c r="AE56" s="138">
        <f t="shared" si="1"/>
        <v>-3.2402073732717973E-3</v>
      </c>
    </row>
    <row r="57" spans="15:31" x14ac:dyDescent="0.25">
      <c r="O57" s="83">
        <v>0.95</v>
      </c>
      <c r="P57" s="83">
        <f t="shared" si="5"/>
        <v>150.727</v>
      </c>
      <c r="Q57" s="83"/>
      <c r="T57" s="93" t="s">
        <v>112</v>
      </c>
      <c r="U57" s="88">
        <v>7.48</v>
      </c>
      <c r="W57" s="133">
        <v>42675</v>
      </c>
      <c r="X57" s="10">
        <v>141.51</v>
      </c>
      <c r="Y57" s="10">
        <v>141.51</v>
      </c>
      <c r="Z57" s="10">
        <v>138.82</v>
      </c>
      <c r="AA57" s="10">
        <v>139.43</v>
      </c>
      <c r="AB57" s="95">
        <v>3391400</v>
      </c>
      <c r="AC57" s="10">
        <v>138.88</v>
      </c>
      <c r="AD57" s="2">
        <f t="shared" si="0"/>
        <v>2.6899999999999977</v>
      </c>
      <c r="AE57" s="138">
        <f t="shared" si="1"/>
        <v>-1.3426156141223333E-2</v>
      </c>
    </row>
    <row r="58" spans="15:31" x14ac:dyDescent="0.25">
      <c r="O58" s="83">
        <v>0.94</v>
      </c>
      <c r="P58" s="83">
        <f t="shared" si="5"/>
        <v>149.1404</v>
      </c>
      <c r="Q58" s="83"/>
      <c r="T58" s="93" t="s">
        <v>109</v>
      </c>
      <c r="U58" s="88" t="s">
        <v>608</v>
      </c>
      <c r="W58" s="133">
        <v>42674</v>
      </c>
      <c r="X58" s="10">
        <v>140.80000000000001</v>
      </c>
      <c r="Y58" s="10">
        <v>141.54</v>
      </c>
      <c r="Z58" s="10">
        <v>139.97</v>
      </c>
      <c r="AA58" s="10">
        <v>141.33000000000001</v>
      </c>
      <c r="AB58" s="95">
        <v>3761100</v>
      </c>
      <c r="AC58" s="10">
        <v>140.77000000000001</v>
      </c>
      <c r="AD58" s="2">
        <f t="shared" si="0"/>
        <v>1.5699999999999932</v>
      </c>
      <c r="AE58" s="138">
        <f t="shared" si="1"/>
        <v>7.0105157736606305E-3</v>
      </c>
    </row>
    <row r="59" spans="15:31" x14ac:dyDescent="0.25">
      <c r="O59" s="83">
        <v>0.93</v>
      </c>
      <c r="P59" s="83">
        <f t="shared" si="5"/>
        <v>147.5538</v>
      </c>
      <c r="Q59" s="83"/>
      <c r="W59" s="133">
        <v>42671</v>
      </c>
      <c r="X59" s="10">
        <v>141.66</v>
      </c>
      <c r="Y59" s="10">
        <v>142.35</v>
      </c>
      <c r="Z59" s="10">
        <v>139.44</v>
      </c>
      <c r="AA59" s="10">
        <v>140.35</v>
      </c>
      <c r="AB59" s="95">
        <v>4033600</v>
      </c>
      <c r="AC59" s="10">
        <v>139.79</v>
      </c>
      <c r="AD59" s="2">
        <f t="shared" si="0"/>
        <v>2.9099999999999966</v>
      </c>
      <c r="AE59" s="138">
        <f t="shared" si="1"/>
        <v>-1.1246286603480038E-2</v>
      </c>
    </row>
    <row r="60" spans="15:31" x14ac:dyDescent="0.25">
      <c r="O60" s="83">
        <v>0.92</v>
      </c>
      <c r="P60" s="83">
        <f t="shared" si="5"/>
        <v>145.96719999999999</v>
      </c>
      <c r="Q60" s="83"/>
      <c r="W60" s="133">
        <v>42670</v>
      </c>
      <c r="X60" s="10">
        <v>142.72</v>
      </c>
      <c r="Y60" s="10">
        <v>143.25</v>
      </c>
      <c r="Z60" s="10">
        <v>141.58000000000001</v>
      </c>
      <c r="AA60" s="10">
        <v>141.94</v>
      </c>
      <c r="AB60" s="95">
        <v>3358000</v>
      </c>
      <c r="AC60" s="10">
        <v>141.38</v>
      </c>
      <c r="AD60" s="2">
        <f t="shared" si="0"/>
        <v>1.6699999999999875</v>
      </c>
      <c r="AE60" s="138">
        <f t="shared" si="1"/>
        <v>-2.0470106585727121E-3</v>
      </c>
    </row>
    <row r="61" spans="15:31" x14ac:dyDescent="0.25">
      <c r="O61" s="83">
        <v>0.91</v>
      </c>
      <c r="P61" s="83">
        <f t="shared" si="5"/>
        <v>144.38060000000002</v>
      </c>
      <c r="Q61" s="83"/>
      <c r="W61" s="133">
        <v>42669</v>
      </c>
      <c r="X61" s="10">
        <v>143.75</v>
      </c>
      <c r="Y61" s="10">
        <v>143.78</v>
      </c>
      <c r="Z61" s="10">
        <v>141.88999999999999</v>
      </c>
      <c r="AA61" s="10">
        <v>142.22999999999999</v>
      </c>
      <c r="AB61" s="95">
        <v>3267600</v>
      </c>
      <c r="AC61" s="10">
        <v>141.66999999999999</v>
      </c>
      <c r="AD61" s="2">
        <f t="shared" si="0"/>
        <v>1.8900000000000148</v>
      </c>
      <c r="AE61" s="138">
        <f t="shared" si="1"/>
        <v>-1.0753439005656173E-2</v>
      </c>
    </row>
    <row r="62" spans="15:31" x14ac:dyDescent="0.25">
      <c r="O62" s="83">
        <v>0.9</v>
      </c>
      <c r="P62" s="83">
        <f t="shared" si="5"/>
        <v>142.79400000000001</v>
      </c>
      <c r="Q62" s="83"/>
      <c r="W62" s="133">
        <v>42668</v>
      </c>
      <c r="X62" s="10">
        <v>144.88</v>
      </c>
      <c r="Y62" s="10">
        <v>145.38</v>
      </c>
      <c r="Z62" s="10">
        <v>143.6</v>
      </c>
      <c r="AA62" s="10">
        <v>143.78</v>
      </c>
      <c r="AB62" s="95">
        <v>3095400</v>
      </c>
      <c r="AC62" s="10">
        <v>143.21</v>
      </c>
      <c r="AD62" s="2">
        <f t="shared" si="0"/>
        <v>1.7800000000000011</v>
      </c>
      <c r="AE62" s="138">
        <f t="shared" si="1"/>
        <v>-6.3141826255898037E-3</v>
      </c>
    </row>
    <row r="63" spans="15:31" x14ac:dyDescent="0.25">
      <c r="O63" s="34"/>
      <c r="W63" s="133">
        <v>42667</v>
      </c>
      <c r="X63" s="10">
        <v>146</v>
      </c>
      <c r="Y63" s="10">
        <v>146.22</v>
      </c>
      <c r="Z63" s="10">
        <v>144.02000000000001</v>
      </c>
      <c r="AA63" s="10">
        <v>144.69</v>
      </c>
      <c r="AB63" s="95">
        <v>2930200</v>
      </c>
      <c r="AC63" s="10">
        <v>144.12</v>
      </c>
      <c r="AD63" s="2">
        <f t="shared" si="0"/>
        <v>2.1999999999999886</v>
      </c>
      <c r="AE63" s="138">
        <f t="shared" si="1"/>
        <v>-4.6273913944332445E-3</v>
      </c>
    </row>
    <row r="64" spans="15:31" x14ac:dyDescent="0.25">
      <c r="O64" s="34"/>
      <c r="W64" s="133">
        <v>42664</v>
      </c>
      <c r="X64" s="10">
        <v>144.26</v>
      </c>
      <c r="Y64" s="10">
        <v>145.44</v>
      </c>
      <c r="Z64" s="10">
        <v>143.76</v>
      </c>
      <c r="AA64" s="10">
        <v>145.37</v>
      </c>
      <c r="AB64" s="95">
        <v>3331800</v>
      </c>
      <c r="AC64" s="10">
        <v>144.79</v>
      </c>
      <c r="AD64" s="2">
        <f t="shared" si="0"/>
        <v>1.6800000000000068</v>
      </c>
      <c r="AE64" s="138">
        <f t="shared" si="1"/>
        <v>2.0762682538582045E-3</v>
      </c>
    </row>
    <row r="65" spans="23:31" x14ac:dyDescent="0.25">
      <c r="W65" s="133">
        <v>42663</v>
      </c>
      <c r="X65" s="10">
        <v>144.49</v>
      </c>
      <c r="Y65" s="10">
        <v>145.88</v>
      </c>
      <c r="Z65" s="10">
        <v>143.97999999999999</v>
      </c>
      <c r="AA65" s="10">
        <v>145.07</v>
      </c>
      <c r="AB65" s="95">
        <v>5203700</v>
      </c>
      <c r="AC65" s="10">
        <v>144.49</v>
      </c>
      <c r="AD65" s="2">
        <f t="shared" si="0"/>
        <v>1.9000000000000057</v>
      </c>
      <c r="AE65" s="138">
        <f t="shared" si="1"/>
        <v>4.7983310152990288E-3</v>
      </c>
    </row>
    <row r="66" spans="23:31" x14ac:dyDescent="0.25">
      <c r="W66" s="133">
        <v>42662</v>
      </c>
      <c r="X66" s="10">
        <v>143.82</v>
      </c>
      <c r="Y66" s="10">
        <v>146.36000000000001</v>
      </c>
      <c r="Z66" s="10">
        <v>142.82</v>
      </c>
      <c r="AA66" s="10">
        <v>144.37</v>
      </c>
      <c r="AB66" s="95">
        <v>5796000</v>
      </c>
      <c r="AC66" s="10">
        <v>143.80000000000001</v>
      </c>
      <c r="AD66" s="2">
        <f t="shared" si="0"/>
        <v>3.5400000000000205</v>
      </c>
      <c r="AE66" s="138">
        <f t="shared" si="1"/>
        <v>6.8617840638567351E-3</v>
      </c>
    </row>
    <row r="67" spans="23:31" x14ac:dyDescent="0.25">
      <c r="W67" s="133">
        <v>42661</v>
      </c>
      <c r="X67" s="10">
        <v>139.19999999999999</v>
      </c>
      <c r="Y67" s="10">
        <v>143.94999999999999</v>
      </c>
      <c r="Z67" s="10">
        <v>137.87</v>
      </c>
      <c r="AA67" s="10">
        <v>143.38999999999999</v>
      </c>
      <c r="AB67" s="95">
        <v>10141900</v>
      </c>
      <c r="AC67" s="10">
        <v>142.82</v>
      </c>
      <c r="AD67" s="2">
        <f>Y67-Z67</f>
        <v>6.0799999999999841</v>
      </c>
      <c r="AE67" s="138" t="e">
        <f>AC67/#REF!-1</f>
        <v>#REF!</v>
      </c>
    </row>
    <row r="68" spans="23:31" x14ac:dyDescent="0.25">
      <c r="W68" s="133">
        <v>42660</v>
      </c>
      <c r="X68" s="10">
        <v>134.06</v>
      </c>
      <c r="Y68" s="10">
        <v>134.43</v>
      </c>
      <c r="Z68" s="10">
        <v>133.03</v>
      </c>
      <c r="AA68" s="10">
        <v>134.13</v>
      </c>
      <c r="AB68" s="95">
        <v>3602500</v>
      </c>
      <c r="AC68" s="10">
        <v>133.6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2017-01-23T01:07:49Z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