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4.xml" ContentType="application/vnd.openxmlformats-officedocument.spreadsheetml.comment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1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r:id="rId25"/>
    <sheet name="MOS" sheetId="58" r:id="rId26"/>
    <sheet name="VGK" sheetId="59" state="hidden" r:id="rId27"/>
    <sheet name="MU" sheetId="17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CF" sheetId="61" r:id="rId39"/>
    <sheet name="TGT" sheetId="75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3">EW!$W$1:$AC$68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ORS" localSheetId="41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1">UNP!$W$1:$AC$69</definedName>
    <definedName name="hp?s_UTX" localSheetId="57">UTX!$W$1:$AC$69</definedName>
    <definedName name="hp?s_vgk" localSheetId="26">VGK!$W$1:$AC$69</definedName>
    <definedName name="hp?s_WFC" localSheetId="36">WFC!$W$1:$AC$69</definedName>
    <definedName name="hp?s_WWD" localSheetId="52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39">#REF!</definedName>
    <definedName name="PL" localSheetId="45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ORS" localSheetId="41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MU!#REF!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3">NSC!$T$43:$U$58</definedName>
    <definedName name="q?s_NSC" localSheetId="31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KS" localSheetId="34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6">VGK!$T$43:$U$56</definedName>
    <definedName name="q?s_WFC" localSheetId="36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4" i="64" l="1"/>
  <c r="L34" i="64"/>
  <c r="F34" i="64"/>
  <c r="H34" i="64"/>
  <c r="G34" i="64"/>
  <c r="N53" i="35"/>
  <c r="N55" i="35"/>
  <c r="N50" i="35"/>
  <c r="N51" i="35"/>
  <c r="N36" i="35"/>
  <c r="N8" i="35"/>
  <c r="N57" i="35"/>
  <c r="N6" i="35"/>
  <c r="N10" i="35"/>
  <c r="N32" i="35"/>
  <c r="N15" i="35"/>
  <c r="N31" i="35"/>
  <c r="N27" i="35"/>
  <c r="N52" i="35"/>
  <c r="N23" i="35"/>
  <c r="N45" i="35"/>
  <c r="N20" i="35"/>
  <c r="N41" i="35"/>
  <c r="N46" i="35"/>
  <c r="N13" i="35"/>
  <c r="N11" i="35"/>
  <c r="N17" i="35"/>
  <c r="N9" i="35"/>
  <c r="N29" i="35"/>
  <c r="N49" i="35"/>
  <c r="N48" i="35"/>
  <c r="N44" i="35"/>
  <c r="N54" i="35"/>
  <c r="N37" i="35"/>
  <c r="N38" i="35"/>
  <c r="N39" i="35"/>
  <c r="N12" i="35"/>
  <c r="N56" i="35"/>
  <c r="N7" i="35"/>
  <c r="N16" i="35"/>
  <c r="N33" i="35"/>
  <c r="N4" i="35"/>
  <c r="N40" i="35"/>
  <c r="N34" i="35"/>
  <c r="N3" i="35"/>
  <c r="N2" i="35"/>
  <c r="N30" i="35"/>
  <c r="N22" i="35"/>
  <c r="N19" i="35"/>
  <c r="N26" i="35"/>
  <c r="N28" i="35"/>
  <c r="N42" i="35"/>
  <c r="N21" i="35"/>
  <c r="N35" i="35"/>
  <c r="N47" i="35"/>
  <c r="N14" i="35"/>
  <c r="N24" i="35"/>
  <c r="N18" i="35"/>
  <c r="N5" i="35"/>
  <c r="N43" i="35"/>
  <c r="N25" i="35"/>
  <c r="T283" i="1"/>
  <c r="F45" i="57"/>
  <c r="G45" i="57"/>
  <c r="H45" i="57"/>
  <c r="F42" i="61"/>
  <c r="G42" i="61"/>
  <c r="H42" i="61"/>
  <c r="D433" i="38"/>
  <c r="E433" i="38"/>
  <c r="G433" i="38"/>
  <c r="H433" i="38"/>
  <c r="K433" i="38"/>
  <c r="L433" i="38"/>
  <c r="O433" i="38" s="1"/>
  <c r="P433" i="38" s="1"/>
  <c r="M433" i="38"/>
  <c r="N433" i="38" s="1"/>
  <c r="R433" i="38"/>
  <c r="U433" i="38"/>
  <c r="V433" i="38" l="1"/>
  <c r="W433" i="38" s="1"/>
  <c r="T433" i="38"/>
  <c r="K40" i="45"/>
  <c r="F40" i="45"/>
  <c r="H40" i="45"/>
  <c r="G40" i="45"/>
  <c r="F5" i="45"/>
  <c r="L425" i="38"/>
  <c r="L426" i="38"/>
  <c r="L427" i="38"/>
  <c r="L428" i="38"/>
  <c r="L429" i="38"/>
  <c r="L430" i="38"/>
  <c r="L431" i="38"/>
  <c r="L432" i="38"/>
  <c r="O432" i="38" s="1"/>
  <c r="G426" i="38"/>
  <c r="G427" i="38"/>
  <c r="G428" i="38"/>
  <c r="G429" i="38"/>
  <c r="G430" i="38"/>
  <c r="G431" i="38"/>
  <c r="G432" i="38"/>
  <c r="D431" i="38"/>
  <c r="D432" i="38"/>
  <c r="E432" i="38"/>
  <c r="H432" i="38"/>
  <c r="K432" i="38"/>
  <c r="M432" i="38"/>
  <c r="T432" i="38" s="1"/>
  <c r="N432" i="38"/>
  <c r="R432" i="38"/>
  <c r="U432" i="38" l="1"/>
  <c r="E431" i="38"/>
  <c r="H431" i="38"/>
  <c r="K431" i="38"/>
  <c r="V432" i="38" s="1"/>
  <c r="W432" i="38" s="1"/>
  <c r="M431" i="38"/>
  <c r="T431" i="38" s="1"/>
  <c r="R431" i="38"/>
  <c r="U431" i="38"/>
  <c r="N431" i="38" l="1"/>
  <c r="O431" i="38"/>
  <c r="V431" i="38"/>
  <c r="W431" i="38" s="1"/>
  <c r="D430" i="38"/>
  <c r="E430" i="38"/>
  <c r="H430" i="38"/>
  <c r="K430" i="38"/>
  <c r="O430" i="38"/>
  <c r="M430" i="38"/>
  <c r="T430" i="38" s="1"/>
  <c r="N430" i="38"/>
  <c r="R430" i="38"/>
  <c r="U430" i="38"/>
  <c r="V430" i="38" l="1"/>
  <c r="W430" i="38" s="1"/>
  <c r="D429" i="38"/>
  <c r="E429" i="38"/>
  <c r="H429" i="38"/>
  <c r="K429" i="38"/>
  <c r="O429" i="38"/>
  <c r="M429" i="38"/>
  <c r="N429" i="38" s="1"/>
  <c r="R429" i="38"/>
  <c r="U429" i="38"/>
  <c r="F83" i="25"/>
  <c r="H83" i="25"/>
  <c r="G83" i="25"/>
  <c r="L83" i="25"/>
  <c r="F35" i="25"/>
  <c r="F34" i="25"/>
  <c r="V429" i="38" l="1"/>
  <c r="W429" i="38" s="1"/>
  <c r="T429" i="38"/>
  <c r="D428" i="38"/>
  <c r="E428" i="38"/>
  <c r="H428" i="38"/>
  <c r="K428" i="38"/>
  <c r="O428" i="38"/>
  <c r="M428" i="38"/>
  <c r="T428" i="38" s="1"/>
  <c r="N428" i="38"/>
  <c r="R428" i="38"/>
  <c r="U428" i="38"/>
  <c r="G72" i="40"/>
  <c r="F19" i="40"/>
  <c r="K8" i="17"/>
  <c r="F15" i="57"/>
  <c r="F18" i="57"/>
  <c r="C18" i="57"/>
  <c r="F5" i="64"/>
  <c r="V428" i="38" l="1"/>
  <c r="W428" i="38" s="1"/>
  <c r="D427" i="38"/>
  <c r="E427" i="38"/>
  <c r="H427" i="38"/>
  <c r="K427" i="38"/>
  <c r="O427" i="38"/>
  <c r="M427" i="38"/>
  <c r="T427" i="38" s="1"/>
  <c r="N427" i="38"/>
  <c r="R427" i="38"/>
  <c r="U427" i="38"/>
  <c r="V427" i="38"/>
  <c r="W427" i="38" l="1"/>
  <c r="L417" i="38"/>
  <c r="L418" i="38"/>
  <c r="L419" i="38"/>
  <c r="L420" i="38"/>
  <c r="L421" i="38"/>
  <c r="L422" i="38"/>
  <c r="L423" i="38"/>
  <c r="L424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U426" i="38"/>
  <c r="E426" i="38"/>
  <c r="H426" i="38"/>
  <c r="K426" i="38"/>
  <c r="V426" i="38" s="1"/>
  <c r="M426" i="38"/>
  <c r="N426" i="38" s="1"/>
  <c r="R426" i="38"/>
  <c r="L56" i="25"/>
  <c r="L57" i="25"/>
  <c r="L58" i="25"/>
  <c r="L59" i="25"/>
  <c r="L60" i="25"/>
  <c r="L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77" i="25"/>
  <c r="L78" i="25"/>
  <c r="L79" i="25"/>
  <c r="L80" i="25"/>
  <c r="L81" i="25"/>
  <c r="L82" i="25"/>
  <c r="L45" i="51"/>
  <c r="L46" i="51"/>
  <c r="L47" i="51"/>
  <c r="L48" i="51"/>
  <c r="L49" i="51"/>
  <c r="L50" i="51"/>
  <c r="F50" i="51"/>
  <c r="G50" i="51"/>
  <c r="H50" i="51"/>
  <c r="W426" i="38" l="1"/>
  <c r="T426" i="38"/>
  <c r="O426" i="38"/>
  <c r="U425" i="38"/>
  <c r="E425" i="38"/>
  <c r="H425" i="38"/>
  <c r="K425" i="38"/>
  <c r="O425" i="38"/>
  <c r="M425" i="38"/>
  <c r="T425" i="38" s="1"/>
  <c r="N425" i="38"/>
  <c r="R425" i="38"/>
  <c r="V425" i="38"/>
  <c r="K33" i="64"/>
  <c r="L33" i="64"/>
  <c r="F33" i="64"/>
  <c r="H33" i="64"/>
  <c r="G33" i="64"/>
  <c r="M91" i="76"/>
  <c r="M73" i="76" s="1"/>
  <c r="Q10" i="76" s="1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L62" i="17"/>
  <c r="F62" i="17"/>
  <c r="H62" i="17"/>
  <c r="G62" i="17"/>
  <c r="K7" i="17"/>
  <c r="E424" i="38"/>
  <c r="H424" i="38"/>
  <c r="K424" i="38"/>
  <c r="O424" i="38"/>
  <c r="M424" i="38"/>
  <c r="T424" i="38" s="1"/>
  <c r="N424" i="38"/>
  <c r="R424" i="38"/>
  <c r="U424" i="38"/>
  <c r="V424" i="38"/>
  <c r="P430" i="38" l="1"/>
  <c r="P431" i="38"/>
  <c r="P432" i="38"/>
  <c r="P429" i="38"/>
  <c r="P428" i="38"/>
  <c r="P427" i="38"/>
  <c r="W425" i="38"/>
  <c r="W424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F2" i="50"/>
  <c r="M18" i="50"/>
  <c r="C18" i="50"/>
  <c r="F18" i="50"/>
  <c r="F80" i="25"/>
  <c r="H80" i="25"/>
  <c r="G80" i="25"/>
  <c r="K9" i="25"/>
  <c r="F32" i="25"/>
  <c r="E423" i="38" l="1"/>
  <c r="H423" i="38"/>
  <c r="K423" i="38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11" i="17"/>
  <c r="F10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M421" i="38"/>
  <c r="T421" i="38" s="1"/>
  <c r="R421" i="38"/>
  <c r="N421" i="38" l="1"/>
  <c r="O421" i="38"/>
  <c r="E420" i="38"/>
  <c r="H420" i="38"/>
  <c r="K420" i="38"/>
  <c r="M420" i="38"/>
  <c r="T420" i="38" s="1"/>
  <c r="R420" i="38"/>
  <c r="F35" i="58"/>
  <c r="H35" i="58"/>
  <c r="G35" i="58"/>
  <c r="F7" i="58"/>
  <c r="C18" i="58"/>
  <c r="O420" i="38" l="1"/>
  <c r="N420" i="38"/>
  <c r="E419" i="38"/>
  <c r="H419" i="38"/>
  <c r="K419" i="38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26" i="38" l="1"/>
  <c r="O417" i="38"/>
  <c r="P424" i="38" s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P425" i="38" l="1"/>
  <c r="O416" i="38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3" i="17"/>
  <c r="K4" i="17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K77" i="69"/>
  <c r="C77" i="69"/>
  <c r="H77" i="69"/>
  <c r="F77" i="69"/>
  <c r="M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F19" i="76"/>
  <c r="C19" i="76"/>
  <c r="K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C93" i="68"/>
  <c r="H93" i="68"/>
  <c r="F93" i="68"/>
  <c r="K93" i="68"/>
  <c r="M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13" i="25"/>
  <c r="C613" i="25"/>
  <c r="F613" i="25"/>
  <c r="K613" i="25"/>
  <c r="H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M49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34"/>
  <c r="C90" i="72"/>
  <c r="K19" i="71"/>
  <c r="M19" i="52"/>
  <c r="F100" i="34"/>
  <c r="M100" i="34"/>
  <c r="M19" i="60"/>
  <c r="H19" i="71"/>
  <c r="F19" i="60"/>
  <c r="H19" i="66"/>
  <c r="C19" i="52"/>
  <c r="C77" i="70"/>
  <c r="F19" i="66"/>
  <c r="C72" i="59"/>
  <c r="C19" i="61"/>
  <c r="F63" i="66"/>
  <c r="F19" i="71"/>
  <c r="K19" i="55"/>
  <c r="M24" i="40"/>
  <c r="M19" i="54"/>
  <c r="K19" i="53"/>
  <c r="C19" i="55"/>
  <c r="M19" i="34"/>
  <c r="C148" i="45"/>
  <c r="C19" i="62"/>
  <c r="K55" i="50"/>
  <c r="M19" i="63"/>
  <c r="M19" i="59"/>
  <c r="H119" i="7"/>
  <c r="K407" i="17"/>
  <c r="M65" i="63"/>
  <c r="K100" i="34"/>
  <c r="M19" i="50"/>
  <c r="F29" i="51"/>
  <c r="H77" i="70"/>
  <c r="H19" i="72"/>
  <c r="F19" i="41"/>
  <c r="M84" i="61"/>
  <c r="F65" i="63"/>
  <c r="F103" i="58"/>
  <c r="K75" i="41"/>
  <c r="F65" i="71"/>
  <c r="C19" i="58"/>
  <c r="C23" i="17"/>
  <c r="H19" i="60"/>
  <c r="K19" i="60"/>
  <c r="K65" i="71"/>
  <c r="F19" i="34"/>
  <c r="F75" i="41"/>
  <c r="K19" i="57"/>
  <c r="F90" i="72"/>
  <c r="H19" i="54"/>
  <c r="M19" i="66"/>
  <c r="M90" i="72"/>
  <c r="F19" i="61"/>
  <c r="M19" i="55"/>
  <c r="H19" i="52"/>
  <c r="F32" i="31"/>
  <c r="H19" i="57"/>
  <c r="F84" i="61"/>
  <c r="K19" i="54"/>
  <c r="M156" i="49"/>
  <c r="K67" i="60"/>
  <c r="M55" i="50"/>
  <c r="K30" i="49"/>
  <c r="C120" i="57"/>
  <c r="C19" i="70"/>
  <c r="C19" i="34"/>
  <c r="K19" i="69"/>
  <c r="F19" i="75"/>
  <c r="H19" i="73"/>
  <c r="M19" i="3"/>
  <c r="F94" i="52"/>
  <c r="F148" i="45"/>
  <c r="M19" i="58"/>
  <c r="H32" i="31"/>
  <c r="C65" i="71"/>
  <c r="F19" i="70"/>
  <c r="H94" i="52"/>
  <c r="H156" i="49"/>
  <c r="K19" i="66"/>
  <c r="K19" i="59"/>
  <c r="H19" i="41"/>
  <c r="H103" i="58"/>
  <c r="F19" i="68"/>
  <c r="K86" i="53"/>
  <c r="F30" i="49"/>
  <c r="K19" i="58"/>
  <c r="H84" i="61"/>
  <c r="M19" i="69"/>
  <c r="K19" i="72"/>
  <c r="H30" i="49"/>
  <c r="H29" i="51"/>
  <c r="H19" i="59"/>
  <c r="C94" i="52"/>
  <c r="C19" i="60"/>
  <c r="C86" i="53"/>
  <c r="F19" i="3"/>
  <c r="M67" i="60"/>
  <c r="M19" i="73"/>
  <c r="C67" i="60"/>
  <c r="F55" i="50"/>
  <c r="K156" i="49"/>
  <c r="K84" i="61"/>
  <c r="F19" i="62"/>
  <c r="H55" i="50"/>
  <c r="M19" i="75"/>
  <c r="F19" i="55"/>
  <c r="H148" i="45"/>
  <c r="C75" i="41"/>
  <c r="C19" i="59"/>
  <c r="M120" i="57"/>
  <c r="K94" i="52"/>
  <c r="F19" i="52"/>
  <c r="K72" i="59"/>
  <c r="F407" i="17"/>
  <c r="C29" i="51"/>
  <c r="F120" i="57"/>
  <c r="H19" i="69"/>
  <c r="K19" i="50"/>
  <c r="H90" i="72"/>
  <c r="F19" i="72"/>
  <c r="H19" i="70"/>
  <c r="C19" i="3"/>
  <c r="C55" i="50"/>
  <c r="C19" i="75"/>
  <c r="C30" i="49"/>
  <c r="K32" i="31"/>
  <c r="C111" i="54"/>
  <c r="K77" i="70"/>
  <c r="M94" i="52"/>
  <c r="M30" i="49"/>
  <c r="F19" i="63"/>
  <c r="M111" i="54"/>
  <c r="C156" i="49"/>
  <c r="C19" i="54"/>
  <c r="C65" i="63"/>
  <c r="K19" i="68"/>
  <c r="C19" i="63"/>
  <c r="M29" i="51"/>
  <c r="H72" i="59"/>
  <c r="K19" i="70"/>
  <c r="K19" i="63"/>
  <c r="H19" i="53"/>
  <c r="K148" i="45"/>
  <c r="M32" i="31"/>
  <c r="K63" i="66"/>
  <c r="K111" i="54"/>
  <c r="H19" i="58"/>
  <c r="M63" i="66"/>
  <c r="C103" i="58"/>
  <c r="K119" i="7"/>
  <c r="M407" i="17"/>
  <c r="H19" i="45"/>
  <c r="M19" i="72"/>
  <c r="K65" i="63"/>
  <c r="K19" i="45"/>
  <c r="M19" i="45"/>
  <c r="K19" i="62"/>
  <c r="C100" i="34"/>
  <c r="C19" i="66"/>
  <c r="M103" i="58"/>
  <c r="C19" i="71"/>
  <c r="C32" i="31"/>
  <c r="K19" i="52"/>
  <c r="F67" i="60"/>
  <c r="K90" i="72"/>
  <c r="H19" i="63"/>
  <c r="M148" i="45"/>
  <c r="K120" i="57"/>
  <c r="C84" i="61"/>
  <c r="F156" i="49"/>
  <c r="M19" i="71"/>
  <c r="F19" i="59"/>
  <c r="H19" i="3"/>
  <c r="C19" i="73"/>
  <c r="F72" i="59"/>
  <c r="F77" i="70"/>
  <c r="C19" i="53"/>
  <c r="F19" i="54"/>
  <c r="F19" i="58"/>
  <c r="M23" i="17"/>
  <c r="F23" i="17"/>
  <c r="K19" i="3"/>
  <c r="H19" i="62"/>
  <c r="K19" i="41"/>
  <c r="H86" i="53"/>
  <c r="M19" i="53"/>
  <c r="H19" i="34"/>
  <c r="H120" i="57"/>
  <c r="H63" i="66"/>
  <c r="M65" i="71"/>
  <c r="H19" i="50"/>
  <c r="C19" i="41"/>
  <c r="M19" i="62"/>
  <c r="H67" i="60"/>
  <c r="C19" i="68"/>
  <c r="C407" i="17"/>
  <c r="F19" i="69"/>
  <c r="K103" i="58"/>
  <c r="H75" i="41"/>
  <c r="M50" i="25"/>
  <c r="M72" i="59"/>
  <c r="F86" i="53"/>
  <c r="H65" i="63"/>
  <c r="C63" i="66"/>
  <c r="F111" i="54"/>
  <c r="H19" i="55"/>
  <c r="H407" i="17"/>
  <c r="C19" i="72"/>
  <c r="M19" i="41"/>
  <c r="M86" i="53"/>
  <c r="M19" i="68"/>
  <c r="F19" i="53"/>
  <c r="H65" i="71"/>
  <c r="H111" i="54"/>
  <c r="M77" i="70"/>
  <c r="H19" i="68"/>
  <c r="F19" i="73"/>
  <c r="H100" i="34"/>
  <c r="K19" i="73"/>
  <c r="K29" i="51"/>
  <c r="M19" i="70"/>
  <c r="M75" i="41"/>
  <c r="C19" i="69"/>
  <c r="F19" i="50"/>
  <c r="C19" i="50"/>
  <c r="K24" i="40"/>
  <c r="H24" i="40"/>
  <c r="M85" i="64"/>
  <c r="K85" i="64"/>
  <c r="H85" i="64"/>
  <c r="F85" i="64"/>
  <c r="C85" i="64"/>
  <c r="M19" i="64"/>
  <c r="K19" i="64"/>
  <c r="H19" i="64"/>
  <c r="K19" i="75"/>
  <c r="H19" i="75"/>
  <c r="F119" i="7"/>
  <c r="C119" i="7"/>
  <c r="M119" i="7"/>
  <c r="F24" i="40"/>
  <c r="C24" i="40"/>
  <c r="K23" i="17"/>
  <c r="H23" i="17"/>
  <c r="F19" i="57"/>
  <c r="C19" i="57"/>
  <c r="F19" i="64"/>
  <c r="C19" i="64"/>
  <c r="F50" i="25"/>
  <c r="C50" i="25"/>
  <c r="K50" i="25"/>
  <c r="H50" i="25"/>
  <c r="K19" i="61"/>
  <c r="H19" i="61"/>
  <c r="F19" i="45"/>
  <c r="C19" i="45"/>
  <c r="M19" i="57"/>
  <c r="M19" i="61"/>
  <c r="U423" i="38" l="1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10" i="38" s="1"/>
  <c r="W41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Q5" i="50" l="1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23" i="38" l="1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<sst xmlns="http://schemas.openxmlformats.org/spreadsheetml/2006/main" count="5454" uniqueCount="764">
  <si>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</si>
  <si>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</si>
  <si>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</si>
  <si>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</si>
  <si>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</si>
  <si>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</si>
  <si>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</si>
  <si>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</si>
  <si>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</si>
  <si>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</si>
  <si>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</si>
  <si>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</si>
  <si>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</si>
  <si>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</si>
  <si>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</si>
  <si>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</si>
  <si>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</si>
  <si>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</si>
  <si>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</si>
  <si>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</si>
  <si>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</si>
  <si>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</si>
  <si>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</si>
  <si>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</si>
  <si>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</si>
  <si>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</si>
  <si>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</si>
  <si>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</si>
  <si>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</si>
  <si>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</si>
  <si>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</si>
  <si>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</si>
  <si>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</si>
  <si>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</si>
  <si>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</si>
  <si>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</si>
  <si>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</si>
  <si>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</si>
  <si>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</si>
  <si>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</si>
  <si>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</si>
  <si>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</si>
  <si>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</si>
  <si>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</si>
  <si>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</si>
  <si>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</si>
  <si>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</si>
  <si>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</si>
  <si>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</si>
  <si>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</si>
  <si>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</si>
  <si>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</si>
  <si>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</si>
  <si>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</si>
  <si>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</si>
  <si>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</si>
  <si>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</si>
  <si>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</si>
  <si>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</si>
  <si>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</si>
  <si>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</si>
  <si>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</si>
  <si>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</si>
  <si>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</si>
  <si>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</si>
  <si>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</si>
  <si>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</si>
  <si>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</si>
  <si>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</si>
  <si>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</si>
  <si>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</si>
  <si>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</si>
  <si>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</si>
  <si>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</si>
  <si>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</si>
  <si>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</si>
  <si>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</si>
  <si>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</si>
  <si>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</si>
  <si>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</si>
  <si>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</si>
  <si>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</si>
  <si>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</si>
  <si>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</si>
  <si>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</si>
  <si>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</si>
  <si>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</si>
  <si>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</si>
  <si>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</si>
  <si>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</si>
  <si>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</si>
  <si>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</si>
  <si>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</si>
  <si>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</si>
  <si>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</si>
  <si>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</si>
  <si>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</si>
  <si>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</si>
  <si>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</si>
  <si>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</si>
  <si>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</si>
  <si>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</si>
  <si>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</si>
  <si>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</si>
  <si>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</si>
  <si>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</si>
  <si>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</si>
  <si>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</si>
  <si>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</si>
  <si>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</si>
  <si>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</si>
  <si>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</si>
  <si>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</si>
  <si>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</si>
  <si>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</si>
  <si>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</si>
  <si>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</si>
  <si>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</si>
  <si>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</si>
  <si>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</si>
  <si>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</si>
  <si>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</si>
  <si>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</si>
  <si>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</si>
  <si>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</si>
  <si>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</si>
  <si>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</si>
  <si>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</si>
  <si>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</si>
  <si>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</si>
  <si>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</si>
  <si>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</si>
  <si>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</si>
  <si>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</si>
  <si>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</si>
  <si>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</si>
  <si>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</si>
  <si>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</si>
  <si>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</si>
  <si>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</si>
  <si>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</si>
  <si>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</si>
  <si>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</si>
  <si>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</si>
  <si>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</si>
  <si>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</si>
  <si>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</si>
  <si>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</si>
  <si>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</si>
  <si>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</si>
  <si>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</si>
  <si>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</si>
  <si>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</si>
  <si>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</si>
  <si>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</si>
  <si>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</si>
  <si>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</si>
  <si>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</si>
  <si>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</si>
  <si>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</si>
  <si>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</si>
  <si>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</si>
  <si>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</si>
  <si>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</si>
  <si>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</si>
  <si>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</si>
  <si>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</si>
  <si>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</si>
  <si>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</si>
  <si>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</si>
  <si>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</si>
  <si>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</si>
  <si>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</si>
  <si>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</si>
  <si>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</si>
  <si>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</si>
  <si>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</si>
  <si>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</si>
  <si>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</si>
  <si>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</si>
  <si>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</si>
  <si>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</si>
  <si>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</si>
  <si>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</si>
  <si>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</si>
  <si>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</si>
  <si>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</si>
  <si>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</si>
  <si>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</si>
  <si>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</si>
  <si>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</si>
  <si>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</si>
  <si>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</si>
  <si>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</si>
  <si>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</si>
  <si>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</si>
  <si>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</si>
  <si>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</si>
  <si>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</si>
  <si>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</si>
  <si>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</si>
  <si>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</si>
  <si>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</si>
  <si>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</si>
  <si>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</si>
  <si>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</si>
  <si>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</si>
  <si>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</si>
  <si>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</si>
  <si>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</si>
  <si>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</si>
  <si>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</si>
  <si>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</si>
  <si>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</si>
  <si>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</si>
  <si>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</si>
  <si>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</si>
  <si>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</si>
  <si>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</si>
  <si>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</si>
  <si>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</si>
  <si>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</si>
  <si>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</si>
  <si>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</si>
  <si>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</si>
  <si>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</si>
  <si>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</si>
  <si>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</si>
  <si>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</si>
  <si>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</si>
  <si>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</si>
  <si>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</si>
  <si>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</si>
  <si>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</si>
  <si>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</si>
  <si>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</si>
  <si>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</si>
  <si>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</si>
  <si>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</si>
  <si>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</si>
  <si>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</si>
  <si>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</si>
  <si>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</si>
  <si>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</si>
  <si>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</si>
  <si>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</si>
  <si>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</si>
  <si>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</si>
  <si>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</si>
  <si>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</si>
  <si>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</si>
  <si>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</si>
  <si>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</si>
  <si>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</si>
  <si>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</si>
  <si>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</si>
  <si>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</si>
  <si>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</si>
  <si>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</si>
  <si>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</si>
  <si>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</si>
  <si>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</si>
  <si>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</si>
  <si>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</si>
  <si>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</si>
  <si>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</si>
  <si>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</si>
  <si>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</si>
  <si>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</si>
  <si>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</si>
  <si>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</si>
  <si>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</si>
  <si>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</si>
  <si>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</si>
  <si>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</si>
  <si>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</si>
  <si>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</si>
  <si>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</si>
  <si>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</si>
  <si>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</si>
  <si>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</si>
  <si>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</si>
  <si>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</si>
  <si>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</si>
  <si>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</si>
  <si>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</si>
  <si>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</si>
  <si>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</si>
  <si>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</si>
  <si>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</si>
  <si>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</si>
  <si>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</si>
  <si>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</si>
  <si>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</si>
  <si>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</si>
  <si>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</si>
  <si>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</si>
  <si>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</si>
  <si>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</si>
  <si>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</si>
  <si>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</si>
  <si>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</si>
  <si>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</si>
  <si>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</si>
  <si>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</si>
  <si>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</si>
  <si>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</si>
  <si>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</si>
  <si>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</si>
  <si>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</si>
  <si>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</si>
  <si>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</si>
  <si>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</si>
  <si>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</si>
  <si>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</si>
  <si>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</si>
  <si>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</si>
  <si>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</si>
  <si>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</si>
  <si>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</si>
  <si>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</si>
  <si>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</si>
  <si>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</si>
  <si>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</si>
  <si>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</si>
  <si>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</si>
  <si>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</si>
  <si>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</si>
  <si>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</si>
  <si>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</si>
  <si>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</si>
  <si>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</si>
  <si>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</si>
  <si>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</si>
  <si>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</si>
  <si>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</si>
  <si>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</si>
  <si>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</si>
  <si>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</si>
  <si>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</si>
  <si>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</si>
  <si>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</si>
  <si>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</si>
  <si>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</si>
  <si>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</si>
  <si>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</si>
  <si>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</si>
  <si>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</si>
  <si>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</si>
  <si>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</si>
  <si>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</si>
  <si>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</si>
  <si>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</si>
  <si>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</si>
  <si>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</si>
  <si>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</si>
  <si>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</si>
  <si>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</si>
  <si>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</si>
  <si>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</si>
  <si>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</si>
  <si>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</si>
  <si>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</si>
  <si>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</si>
  <si>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</si>
  <si>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</si>
  <si>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</si>
  <si>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</si>
  <si>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</si>
  <si>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</si>
  <si>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</si>
  <si>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</si>
  <si>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</si>
  <si>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</si>
  <si>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</si>
  <si>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</si>
  <si>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</si>
  <si>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</si>
  <si>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</si>
  <si>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</si>
  <si>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</si>
  <si>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</si>
  <si>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</si>
  <si>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</si>
  <si>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</si>
  <si>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</si>
  <si>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</si>
  <si>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</si>
  <si>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</si>
  <si>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</si>
  <si>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</si>
  <si>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</si>
  <si>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</si>
  <si>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</si>
  <si>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</si>
  <si>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</si>
  <si>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</si>
  <si>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</si>
  <si>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</si>
  <si>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</si>
  <si>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</si>
  <si>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</si>
  <si>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</si>
  <si>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</si>
  <si>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</si>
  <si>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</si>
  <si>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</si>
  <si>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</si>
  <si>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</si>
  <si>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</si>
  <si>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</si>
  <si>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</si>
  <si>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</si>
  <si>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</si>
  <si>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</si>
  <si>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</si>
  <si>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</si>
  <si>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</si>
  <si>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</si>
  <si>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</si>
  <si>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</si>
  <si>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</si>
  <si>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</si>
  <si>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</si>
  <si>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</si>
  <si>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</si>
  <si>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</si>
  <si>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</si>
  <si>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</si>
  <si>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</si>
  <si>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</si>
  <si>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</si>
  <si>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</si>
  <si>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</si>
  <si>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</si>
  <si>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</si>
  <si>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</si>
  <si>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</si>
  <si>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</si>
  <si>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</si>
  <si>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</si>
  <si>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</si>
  <si>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</si>
  <si>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</si>
  <si>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</si>
  <si>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</si>
  <si>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</si>
  <si>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</si>
  <si>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</si>
  <si>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</si>
  <si>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</si>
  <si>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</si>
  <si>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</si>
  <si>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</si>
  <si>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</si>
  <si>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</si>
  <si>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</si>
  <si>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</si>
  <si>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</si>
  <si>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</si>
  <si>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</si>
  <si>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</si>
  <si>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</si>
  <si>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</si>
  <si>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</si>
  <si>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</si>
  <si>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</si>
  <si>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</si>
  <si>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</si>
  <si>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</si>
  <si>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</si>
  <si>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</si>
  <si>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</si>
  <si>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</si>
  <si>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</si>
  <si>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</si>
  <si>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</si>
  <si>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</si>
  <si>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</si>
  <si>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</si>
  <si>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</si>
  <si>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</si>
  <si>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</si>
  <si>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</si>
  <si>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</si>
  <si>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</si>
  <si>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</si>
  <si>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</si>
  <si>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</si>
  <si>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</si>
  <si>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</si>
  <si>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</si>
  <si>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</si>
  <si>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</si>
  <si>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</si>
  <si>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</si>
  <si>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</si>
  <si>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</si>
  <si>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</si>
  <si>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</si>
  <si>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</si>
  <si>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</si>
  <si>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</si>
  <si>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</si>
  <si>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</si>
  <si>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</si>
  <si>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</si>
  <si>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</si>
  <si>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</si>
  <si>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</si>
  <si>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</si>
  <si>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</si>
  <si>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</si>
  <si>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</si>
  <si>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</si>
  <si>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</si>
  <si>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</si>
  <si>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</si>
  <si>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</si>
  <si>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</si>
  <si>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</si>
  <si>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</si>
  <si>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</si>
  <si>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</si>
  <si>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</si>
  <si>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</si>
  <si>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</si>
  <si>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</si>
  <si>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</si>
  <si>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</si>
  <si>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</si>
  <si>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</si>
  <si>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</si>
  <si>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</si>
  <si>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</si>
  <si>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</si>
  <si>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</si>
  <si>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</si>
  <si>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~6/6</t>
  </si>
  <si>
    <t>ex ~5/3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</si>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</sst>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0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41"/>
      <tableStyleElement type="headerRow" dxfId="134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420272"/>
        <c:axId val="526420664"/>
      </c:scatterChart>
      <c:valAx>
        <c:axId val="5264202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20664"/>
        <c:crosses val="autoZero"/>
        <c:crossBetween val="midCat"/>
      </c:valAx>
      <c:valAx>
        <c:axId val="526420664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2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421448"/>
        <c:axId val="526421840"/>
      </c:scatterChart>
      <c:valAx>
        <c:axId val="52642144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21840"/>
        <c:crosses val="autoZero"/>
        <c:crossBetween val="midCat"/>
      </c:valAx>
      <c:valAx>
        <c:axId val="52642184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21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422624"/>
        <c:axId val="526423016"/>
      </c:scatterChart>
      <c:valAx>
        <c:axId val="5264226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23016"/>
        <c:crosses val="autoZero"/>
        <c:crossBetween val="midCat"/>
      </c:valAx>
      <c:valAx>
        <c:axId val="5264230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22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425368"/>
        <c:axId val="526425760"/>
      </c:scatterChart>
      <c:valAx>
        <c:axId val="5264253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25760"/>
        <c:crosses val="autoZero"/>
        <c:crossBetween val="midCat"/>
      </c:valAx>
      <c:valAx>
        <c:axId val="52642576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25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426936"/>
        <c:axId val="526427328"/>
      </c:scatterChart>
      <c:valAx>
        <c:axId val="5264269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27328"/>
        <c:crosses val="autoZero"/>
        <c:crossBetween val="midCat"/>
      </c:valAx>
      <c:valAx>
        <c:axId val="52642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26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428112"/>
        <c:axId val="526428504"/>
      </c:scatterChart>
      <c:valAx>
        <c:axId val="5264281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28504"/>
        <c:crosses val="autoZero"/>
        <c:crossBetween val="midCat"/>
      </c:valAx>
      <c:valAx>
        <c:axId val="52642850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2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424976"/>
        <c:axId val="526424584"/>
      </c:scatterChart>
      <c:valAx>
        <c:axId val="5264249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24584"/>
        <c:crosses val="autoZero"/>
        <c:crossBetween val="midCat"/>
      </c:valAx>
      <c:valAx>
        <c:axId val="526424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249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429680"/>
        <c:axId val="526430072"/>
      </c:lineChart>
      <c:dateAx>
        <c:axId val="526429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30072"/>
        <c:crosses val="autoZero"/>
        <c:auto val="1"/>
        <c:lblOffset val="100"/>
        <c:baseTimeUnit val="days"/>
      </c:dateAx>
      <c:valAx>
        <c:axId val="52643007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2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693432"/>
        <c:axId val="671693824"/>
      </c:lineChart>
      <c:dateAx>
        <c:axId val="671693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93824"/>
        <c:crosses val="autoZero"/>
        <c:auto val="1"/>
        <c:lblOffset val="100"/>
        <c:baseTimeUnit val="days"/>
      </c:dateAx>
      <c:valAx>
        <c:axId val="6716938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9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695784"/>
        <c:axId val="671696176"/>
      </c:lineChart>
      <c:dateAx>
        <c:axId val="671695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96176"/>
        <c:crosses val="autoZero"/>
        <c:auto val="1"/>
        <c:lblOffset val="100"/>
        <c:baseTimeUnit val="days"/>
      </c:dateAx>
      <c:valAx>
        <c:axId val="671696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9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698136"/>
        <c:axId val="671698528"/>
      </c:lineChart>
      <c:dateAx>
        <c:axId val="671698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98528"/>
        <c:crosses val="autoZero"/>
        <c:auto val="1"/>
        <c:lblOffset val="100"/>
        <c:baseTimeUnit val="days"/>
      </c:dateAx>
      <c:valAx>
        <c:axId val="6716985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69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00488"/>
        <c:axId val="671700880"/>
      </c:lineChart>
      <c:dateAx>
        <c:axId val="671700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00880"/>
        <c:crosses val="autoZero"/>
        <c:auto val="1"/>
        <c:lblOffset val="100"/>
        <c:baseTimeUnit val="days"/>
      </c:dateAx>
      <c:valAx>
        <c:axId val="6717008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0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02840"/>
        <c:axId val="671703232"/>
      </c:lineChart>
      <c:dateAx>
        <c:axId val="671702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03232"/>
        <c:crosses val="autoZero"/>
        <c:auto val="1"/>
        <c:lblOffset val="100"/>
        <c:baseTimeUnit val="days"/>
      </c:dateAx>
      <c:valAx>
        <c:axId val="6717032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02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05192"/>
        <c:axId val="671705584"/>
      </c:lineChart>
      <c:dateAx>
        <c:axId val="671705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05584"/>
        <c:crosses val="autoZero"/>
        <c:auto val="1"/>
        <c:lblOffset val="100"/>
        <c:baseTimeUnit val="days"/>
      </c:dateAx>
      <c:valAx>
        <c:axId val="67170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0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707544"/>
        <c:axId val="671707936"/>
      </c:lineChart>
      <c:dateAx>
        <c:axId val="671707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07936"/>
        <c:crosses val="autoZero"/>
        <c:auto val="1"/>
        <c:lblOffset val="100"/>
        <c:baseTimeUnit val="days"/>
      </c:dateAx>
      <c:valAx>
        <c:axId val="6717079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70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01440"/>
        <c:axId val="674701832"/>
      </c:lineChart>
      <c:dateAx>
        <c:axId val="674701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01832"/>
        <c:crosses val="autoZero"/>
        <c:auto val="1"/>
        <c:lblOffset val="100"/>
        <c:baseTimeUnit val="days"/>
      </c:dateAx>
      <c:valAx>
        <c:axId val="67470183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0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03792"/>
        <c:axId val="674704184"/>
      </c:lineChart>
      <c:dateAx>
        <c:axId val="674703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04184"/>
        <c:crosses val="autoZero"/>
        <c:auto val="1"/>
        <c:lblOffset val="100"/>
        <c:baseTimeUnit val="days"/>
      </c:dateAx>
      <c:valAx>
        <c:axId val="6747041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0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06144"/>
        <c:axId val="674706536"/>
      </c:lineChart>
      <c:dateAx>
        <c:axId val="674706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06536"/>
        <c:crosses val="autoZero"/>
        <c:auto val="1"/>
        <c:lblOffset val="100"/>
        <c:baseTimeUnit val="days"/>
      </c:dateAx>
      <c:valAx>
        <c:axId val="6747065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0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08496"/>
        <c:axId val="674708888"/>
      </c:lineChart>
      <c:dateAx>
        <c:axId val="674708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08888"/>
        <c:crosses val="autoZero"/>
        <c:auto val="1"/>
        <c:lblOffset val="100"/>
        <c:baseTimeUnit val="days"/>
      </c:dateAx>
      <c:valAx>
        <c:axId val="6747088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0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10064"/>
        <c:axId val="674710456"/>
      </c:lineChart>
      <c:catAx>
        <c:axId val="674710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10456"/>
        <c:crosses val="autoZero"/>
        <c:auto val="1"/>
        <c:lblAlgn val="ctr"/>
        <c:lblOffset val="100"/>
        <c:noMultiLvlLbl val="0"/>
      </c:catAx>
      <c:valAx>
        <c:axId val="6747104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1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12808"/>
        <c:axId val="674713200"/>
      </c:lineChart>
      <c:dateAx>
        <c:axId val="674712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13200"/>
        <c:crosses val="autoZero"/>
        <c:auto val="1"/>
        <c:lblOffset val="100"/>
        <c:baseTimeUnit val="days"/>
      </c:dateAx>
      <c:valAx>
        <c:axId val="6747132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1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15552"/>
        <c:axId val="676032320"/>
      </c:lineChart>
      <c:dateAx>
        <c:axId val="674715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32320"/>
        <c:crosses val="autoZero"/>
        <c:auto val="1"/>
        <c:lblOffset val="100"/>
        <c:baseTimeUnit val="days"/>
      </c:dateAx>
      <c:valAx>
        <c:axId val="6760323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1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33888"/>
        <c:axId val="676034280"/>
      </c:lineChart>
      <c:catAx>
        <c:axId val="676033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34280"/>
        <c:crosses val="autoZero"/>
        <c:auto val="1"/>
        <c:lblAlgn val="ctr"/>
        <c:lblOffset val="100"/>
        <c:noMultiLvlLbl val="1"/>
      </c:catAx>
      <c:valAx>
        <c:axId val="67603428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3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35848"/>
        <c:axId val="676036240"/>
      </c:lineChart>
      <c:dateAx>
        <c:axId val="676035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36240"/>
        <c:crosses val="autoZero"/>
        <c:auto val="1"/>
        <c:lblOffset val="100"/>
        <c:baseTimeUnit val="days"/>
      </c:dateAx>
      <c:valAx>
        <c:axId val="67603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3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38200"/>
        <c:axId val="676038592"/>
      </c:lineChart>
      <c:dateAx>
        <c:axId val="676038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38592"/>
        <c:crosses val="autoZero"/>
        <c:auto val="1"/>
        <c:lblOffset val="100"/>
        <c:baseTimeUnit val="days"/>
      </c:dateAx>
      <c:valAx>
        <c:axId val="67603859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3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303760"/>
        <c:axId val="686304152"/>
      </c:lineChart>
      <c:dateAx>
        <c:axId val="686303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04152"/>
        <c:crosses val="autoZero"/>
        <c:auto val="1"/>
        <c:lblOffset val="100"/>
        <c:baseTimeUnit val="days"/>
      </c:dateAx>
      <c:valAx>
        <c:axId val="6863041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0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306112"/>
        <c:axId val="686306504"/>
      </c:lineChart>
      <c:dateAx>
        <c:axId val="686306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06504"/>
        <c:crosses val="autoZero"/>
        <c:auto val="1"/>
        <c:lblOffset val="100"/>
        <c:baseTimeUnit val="days"/>
      </c:dateAx>
      <c:valAx>
        <c:axId val="6863065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0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308464"/>
        <c:axId val="686308856"/>
      </c:lineChart>
      <c:dateAx>
        <c:axId val="686308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08856"/>
        <c:crosses val="autoZero"/>
        <c:auto val="1"/>
        <c:lblOffset val="100"/>
        <c:baseTimeUnit val="days"/>
      </c:dateAx>
      <c:valAx>
        <c:axId val="6863088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08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310816"/>
        <c:axId val="686311208"/>
      </c:lineChart>
      <c:catAx>
        <c:axId val="686310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11208"/>
        <c:crosses val="autoZero"/>
        <c:auto val="1"/>
        <c:lblAlgn val="ctr"/>
        <c:lblOffset val="100"/>
        <c:noMultiLvlLbl val="0"/>
      </c:catAx>
      <c:valAx>
        <c:axId val="686311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1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313560"/>
        <c:axId val="686313952"/>
      </c:lineChart>
      <c:dateAx>
        <c:axId val="686313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13952"/>
        <c:crosses val="autoZero"/>
        <c:auto val="1"/>
        <c:lblOffset val="100"/>
        <c:baseTimeUnit val="days"/>
      </c:dateAx>
      <c:valAx>
        <c:axId val="6863139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1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315912"/>
        <c:axId val="686316304"/>
      </c:lineChart>
      <c:catAx>
        <c:axId val="686315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16304"/>
        <c:crosses val="autoZero"/>
        <c:auto val="1"/>
        <c:lblAlgn val="ctr"/>
        <c:lblOffset val="100"/>
        <c:noMultiLvlLbl val="0"/>
      </c:catAx>
      <c:valAx>
        <c:axId val="6863163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1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318264"/>
        <c:axId val="686318656"/>
      </c:lineChart>
      <c:dateAx>
        <c:axId val="686318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18656"/>
        <c:crosses val="autoZero"/>
        <c:auto val="1"/>
        <c:lblOffset val="100"/>
        <c:baseTimeUnit val="days"/>
      </c:dateAx>
      <c:valAx>
        <c:axId val="6863186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31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914504"/>
        <c:axId val="704914896"/>
      </c:lineChart>
      <c:catAx>
        <c:axId val="704914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914896"/>
        <c:crosses val="autoZero"/>
        <c:auto val="1"/>
        <c:lblAlgn val="ctr"/>
        <c:lblOffset val="100"/>
        <c:noMultiLvlLbl val="0"/>
      </c:catAx>
      <c:valAx>
        <c:axId val="704914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91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916856"/>
        <c:axId val="704917248"/>
      </c:lineChart>
      <c:dateAx>
        <c:axId val="704916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917248"/>
        <c:crosses val="autoZero"/>
        <c:auto val="1"/>
        <c:lblOffset val="100"/>
        <c:baseTimeUnit val="days"/>
      </c:dateAx>
      <c:valAx>
        <c:axId val="7049172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91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919208"/>
        <c:axId val="704919600"/>
      </c:lineChart>
      <c:dateAx>
        <c:axId val="704919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919600"/>
        <c:crosses val="autoZero"/>
        <c:auto val="1"/>
        <c:lblOffset val="100"/>
        <c:baseTimeUnit val="days"/>
      </c:dateAx>
      <c:valAx>
        <c:axId val="7049196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91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921560"/>
        <c:axId val="704921952"/>
      </c:lineChart>
      <c:dateAx>
        <c:axId val="704921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921952"/>
        <c:crosses val="autoZero"/>
        <c:auto val="1"/>
        <c:lblOffset val="100"/>
        <c:baseTimeUnit val="days"/>
      </c:dateAx>
      <c:valAx>
        <c:axId val="7049219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92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923912"/>
        <c:axId val="704924304"/>
      </c:lineChart>
      <c:dateAx>
        <c:axId val="704923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924304"/>
        <c:crosses val="autoZero"/>
        <c:auto val="1"/>
        <c:lblOffset val="100"/>
        <c:baseTimeUnit val="days"/>
      </c:dateAx>
      <c:valAx>
        <c:axId val="7049243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92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926264"/>
        <c:axId val="704926656"/>
      </c:lineChart>
      <c:dateAx>
        <c:axId val="704926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926656"/>
        <c:crosses val="autoZero"/>
        <c:auto val="1"/>
        <c:lblOffset val="100"/>
        <c:baseTimeUnit val="days"/>
      </c:dateAx>
      <c:valAx>
        <c:axId val="70492665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92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928616"/>
        <c:axId val="704929008"/>
      </c:lineChart>
      <c:dateAx>
        <c:axId val="7049286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929008"/>
        <c:crosses val="autoZero"/>
        <c:auto val="0"/>
        <c:lblOffset val="100"/>
        <c:baseTimeUnit val="days"/>
      </c:dateAx>
      <c:valAx>
        <c:axId val="70492900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928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555304"/>
        <c:axId val="742555696"/>
      </c:lineChart>
      <c:catAx>
        <c:axId val="742555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555696"/>
        <c:crosses val="autoZero"/>
        <c:auto val="1"/>
        <c:lblAlgn val="ctr"/>
        <c:lblOffset val="100"/>
        <c:noMultiLvlLbl val="1"/>
      </c:catAx>
      <c:valAx>
        <c:axId val="74255569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55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557656"/>
        <c:axId val="742558048"/>
      </c:lineChart>
      <c:dateAx>
        <c:axId val="742557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558048"/>
        <c:crosses val="autoZero"/>
        <c:auto val="1"/>
        <c:lblOffset val="100"/>
        <c:baseTimeUnit val="days"/>
      </c:dateAx>
      <c:valAx>
        <c:axId val="7425580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55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560008"/>
        <c:axId val="742560400"/>
      </c:lineChart>
      <c:dateAx>
        <c:axId val="742560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560400"/>
        <c:crosses val="autoZero"/>
        <c:auto val="1"/>
        <c:lblOffset val="100"/>
        <c:baseTimeUnit val="days"/>
      </c:dateAx>
      <c:valAx>
        <c:axId val="7425604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56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562360"/>
        <c:axId val="742562752"/>
      </c:lineChart>
      <c:dateAx>
        <c:axId val="742562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562752"/>
        <c:crosses val="autoZero"/>
        <c:auto val="1"/>
        <c:lblOffset val="100"/>
        <c:baseTimeUnit val="days"/>
      </c:dateAx>
      <c:valAx>
        <c:axId val="7425627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56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564712"/>
        <c:axId val="742565104"/>
      </c:lineChart>
      <c:catAx>
        <c:axId val="742564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565104"/>
        <c:crosses val="autoZero"/>
        <c:auto val="1"/>
        <c:lblAlgn val="ctr"/>
        <c:lblOffset val="100"/>
        <c:noMultiLvlLbl val="0"/>
      </c:catAx>
      <c:valAx>
        <c:axId val="7425651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56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567064"/>
        <c:axId val="742567456"/>
      </c:lineChart>
      <c:catAx>
        <c:axId val="742567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567456"/>
        <c:crosses val="autoZero"/>
        <c:auto val="1"/>
        <c:lblAlgn val="ctr"/>
        <c:lblOffset val="100"/>
        <c:noMultiLvlLbl val="0"/>
      </c:catAx>
      <c:valAx>
        <c:axId val="7425674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56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569416"/>
        <c:axId val="742569808"/>
      </c:lineChart>
      <c:catAx>
        <c:axId val="742569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569808"/>
        <c:crosses val="autoZero"/>
        <c:auto val="1"/>
        <c:lblAlgn val="ctr"/>
        <c:lblOffset val="100"/>
        <c:noMultiLvlLbl val="0"/>
      </c:catAx>
      <c:valAx>
        <c:axId val="7425698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56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596168"/>
        <c:axId val="752596560"/>
      </c:lineChart>
      <c:dateAx>
        <c:axId val="752596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596560"/>
        <c:crosses val="autoZero"/>
        <c:auto val="1"/>
        <c:lblOffset val="100"/>
        <c:baseTimeUnit val="days"/>
      </c:dateAx>
      <c:valAx>
        <c:axId val="7525965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59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598520"/>
        <c:axId val="752598912"/>
      </c:lineChart>
      <c:dateAx>
        <c:axId val="75259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598912"/>
        <c:crosses val="autoZero"/>
        <c:auto val="1"/>
        <c:lblOffset val="100"/>
        <c:baseTimeUnit val="days"/>
      </c:dateAx>
      <c:valAx>
        <c:axId val="75259891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59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600872"/>
        <c:axId val="752601264"/>
      </c:lineChart>
      <c:dateAx>
        <c:axId val="752600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01264"/>
        <c:crosses val="autoZero"/>
        <c:auto val="1"/>
        <c:lblOffset val="100"/>
        <c:baseTimeUnit val="days"/>
      </c:dateAx>
      <c:valAx>
        <c:axId val="75260126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0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602832"/>
        <c:axId val="752603224"/>
      </c:lineChart>
      <c:catAx>
        <c:axId val="752602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03224"/>
        <c:crosses val="autoZero"/>
        <c:auto val="1"/>
        <c:lblAlgn val="ctr"/>
        <c:lblOffset val="100"/>
        <c:noMultiLvlLbl val="1"/>
      </c:catAx>
      <c:valAx>
        <c:axId val="7526032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0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605184"/>
        <c:axId val="752605576"/>
      </c:lineChart>
      <c:dateAx>
        <c:axId val="752605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05576"/>
        <c:crosses val="autoZero"/>
        <c:auto val="1"/>
        <c:lblOffset val="100"/>
        <c:baseTimeUnit val="days"/>
      </c:dateAx>
      <c:valAx>
        <c:axId val="7526055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0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607536"/>
        <c:axId val="752607928"/>
      </c:lineChart>
      <c:dateAx>
        <c:axId val="752607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07928"/>
        <c:crosses val="autoZero"/>
        <c:auto val="1"/>
        <c:lblOffset val="100"/>
        <c:baseTimeUnit val="days"/>
      </c:dateAx>
      <c:valAx>
        <c:axId val="752607928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0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609888"/>
        <c:axId val="752610280"/>
      </c:lineChart>
      <c:catAx>
        <c:axId val="752609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10280"/>
        <c:crosses val="autoZero"/>
        <c:auto val="1"/>
        <c:lblAlgn val="ctr"/>
        <c:lblOffset val="100"/>
        <c:noMultiLvlLbl val="0"/>
      </c:catAx>
      <c:valAx>
        <c:axId val="752610280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0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612240"/>
        <c:axId val="752612632"/>
      </c:lineChart>
      <c:dateAx>
        <c:axId val="752612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12632"/>
        <c:crosses val="autoZero"/>
        <c:auto val="1"/>
        <c:lblOffset val="100"/>
        <c:baseTimeUnit val="days"/>
      </c:dateAx>
      <c:valAx>
        <c:axId val="7526126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1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614592"/>
        <c:axId val="752614984"/>
      </c:lineChart>
      <c:dateAx>
        <c:axId val="752614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14984"/>
        <c:crosses val="autoZero"/>
        <c:auto val="1"/>
        <c:lblOffset val="100"/>
        <c:baseTimeUnit val="days"/>
      </c:dateAx>
      <c:valAx>
        <c:axId val="7526149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1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616944"/>
        <c:axId val="752617336"/>
      </c:lineChart>
      <c:catAx>
        <c:axId val="752616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17336"/>
        <c:crosses val="autoZero"/>
        <c:auto val="1"/>
        <c:lblAlgn val="ctr"/>
        <c:lblOffset val="100"/>
        <c:noMultiLvlLbl val="0"/>
      </c:catAx>
      <c:valAx>
        <c:axId val="7526173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1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619296"/>
        <c:axId val="752619688"/>
      </c:lineChart>
      <c:catAx>
        <c:axId val="752619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19688"/>
        <c:crosses val="autoZero"/>
        <c:auto val="1"/>
        <c:lblAlgn val="ctr"/>
        <c:lblOffset val="100"/>
        <c:noMultiLvlLbl val="0"/>
      </c:catAx>
      <c:valAx>
        <c:axId val="752619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1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621648"/>
        <c:axId val="752622040"/>
      </c:lineChart>
      <c:catAx>
        <c:axId val="752621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22040"/>
        <c:crosses val="autoZero"/>
        <c:auto val="1"/>
        <c:lblAlgn val="ctr"/>
        <c:lblOffset val="100"/>
        <c:noMultiLvlLbl val="0"/>
      </c:catAx>
      <c:valAx>
        <c:axId val="7526220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2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624000"/>
        <c:axId val="752624392"/>
      </c:lineChart>
      <c:dateAx>
        <c:axId val="752624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24392"/>
        <c:crosses val="autoZero"/>
        <c:auto val="1"/>
        <c:lblOffset val="100"/>
        <c:baseTimeUnit val="days"/>
      </c:dateAx>
      <c:valAx>
        <c:axId val="7526243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2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626352"/>
        <c:axId val="752626744"/>
      </c:lineChart>
      <c:dateAx>
        <c:axId val="752626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26744"/>
        <c:crosses val="autoZero"/>
        <c:auto val="1"/>
        <c:lblOffset val="100"/>
        <c:baseTimeUnit val="days"/>
      </c:dateAx>
      <c:valAx>
        <c:axId val="7526267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2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9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clh" backgroundRefres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4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1.xml"/><Relationship Id="rId4" Type="http://schemas.openxmlformats.org/officeDocument/2006/relationships/queryTable" Target="../queryTables/queryTable6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6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5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2" ht="21.95" customHeight="1" x14ac:dyDescent="0.25">
      <c r="A2" s="51"/>
      <c r="B2" s="51"/>
      <c r="C2" s="52"/>
      <c r="E2" s="23" t="s">
        <v>50</v>
      </c>
      <c r="F2" s="246">
        <v>13.1</v>
      </c>
      <c r="G2" s="246">
        <v>16.048867142857141</v>
      </c>
      <c r="H2" s="334">
        <v>7000</v>
      </c>
      <c r="I2" s="49">
        <v>112342.06999999999</v>
      </c>
      <c r="J2" s="372">
        <v>-20642.069999999978</v>
      </c>
      <c r="K2" s="358">
        <v>-0.18374300918614006</v>
      </c>
      <c r="L2" s="372">
        <v>-6026.4989999983518</v>
      </c>
      <c r="M2">
        <v>5500</v>
      </c>
      <c r="N2" s="369" t="str">
        <f>HYPERLINK("http://finance.yahoo.com/q?s=" &amp; E2, "Link")</f>
        <v>Link</v>
      </c>
      <c r="O2" s="368">
        <v>1.34E-2</v>
      </c>
      <c r="P2" s="368">
        <v>6.1000000000000004E-3</v>
      </c>
      <c r="R2" s="49"/>
      <c r="S2" s="49"/>
    </row>
    <row r="3" spans="1:22" ht="21.95" customHeight="1" x14ac:dyDescent="0.25">
      <c r="A3" s="51"/>
      <c r="B3" s="51"/>
      <c r="C3" s="52"/>
      <c r="E3" s="23" t="s">
        <v>198</v>
      </c>
      <c r="F3" s="246">
        <v>30.25</v>
      </c>
      <c r="G3" s="246">
        <v>31.859253333333331</v>
      </c>
      <c r="H3" s="334">
        <v>1500</v>
      </c>
      <c r="I3" s="49">
        <v>47788.88</v>
      </c>
      <c r="J3" s="372">
        <v>-2413.8799999999974</v>
      </c>
      <c r="K3" s="358">
        <v>-5.0511332343423768E-2</v>
      </c>
      <c r="L3" s="372">
        <v>-665.91000000000349</v>
      </c>
      <c r="M3">
        <v>1500</v>
      </c>
      <c r="N3" s="369" t="str">
        <f>HYPERLINK("http://finance.yahoo.com/q?s=" &amp; E3, "Link")</f>
        <v>Link</v>
      </c>
      <c r="O3" s="368">
        <v>1.6299999999999999E-2</v>
      </c>
      <c r="P3" s="368">
        <v>1.5800000000000002E-2</v>
      </c>
      <c r="Q3" s="150"/>
      <c r="R3" s="49"/>
      <c r="S3" s="49"/>
    </row>
    <row r="4" spans="1:22" ht="21.95" customHeight="1" x14ac:dyDescent="0.25">
      <c r="A4" s="51"/>
      <c r="B4" s="51"/>
      <c r="C4" s="52"/>
      <c r="E4" s="23" t="s">
        <v>17</v>
      </c>
      <c r="F4" s="246">
        <v>13.18</v>
      </c>
      <c r="G4" s="246">
        <v>35.485680000000166</v>
      </c>
      <c r="H4" s="334">
        <v>1000</v>
      </c>
      <c r="I4" s="49">
        <v>35485.680000000168</v>
      </c>
      <c r="J4" s="372">
        <v>-22305.680000000168</v>
      </c>
      <c r="K4" s="358">
        <v>-0.62858257189942712</v>
      </c>
      <c r="L4" s="372">
        <v>-22305.680000000168</v>
      </c>
      <c r="M4">
        <v>700</v>
      </c>
      <c r="N4" s="369" t="str">
        <f>HYPERLINK("http://finance.yahoo.com/q?s=" &amp; E4, "Link")</f>
        <v>Link</v>
      </c>
      <c r="O4" s="368">
        <v>0</v>
      </c>
      <c r="P4" s="368">
        <v>2.5700000000000001E-2</v>
      </c>
      <c r="R4" s="49"/>
    </row>
    <row r="5" spans="1:22" ht="21.95" customHeight="1" x14ac:dyDescent="0.25">
      <c r="A5" s="51"/>
      <c r="B5" s="51"/>
      <c r="C5" s="52"/>
      <c r="E5" s="23" t="s">
        <v>217</v>
      </c>
      <c r="F5" s="246">
        <v>52.41</v>
      </c>
      <c r="G5" s="246">
        <v>65.906725000000009</v>
      </c>
      <c r="H5" s="334">
        <v>400</v>
      </c>
      <c r="I5" s="49">
        <v>26362.690000000002</v>
      </c>
      <c r="J5" s="372">
        <v>-5398.690000000006</v>
      </c>
      <c r="K5" s="358">
        <v>-0.2047852476359584</v>
      </c>
      <c r="L5" s="372">
        <v>-4722.7400000000052</v>
      </c>
      <c r="M5">
        <v>200</v>
      </c>
      <c r="N5" s="369" t="str">
        <f>HYPERLINK("http://finance.yahoo.com/q?s=" &amp; E5, "Link")</f>
        <v>Link</v>
      </c>
      <c r="O5" s="368">
        <v>1.7899999999999999E-2</v>
      </c>
      <c r="P5" s="368">
        <v>8.9599999999999999E-2</v>
      </c>
      <c r="Q5" s="150"/>
      <c r="S5" s="49"/>
    </row>
    <row r="6" spans="1:22" ht="21.95" customHeight="1" x14ac:dyDescent="0.25">
      <c r="A6" s="52"/>
      <c r="B6" s="52"/>
      <c r="C6" s="52"/>
      <c r="E6" s="23" t="s">
        <v>55</v>
      </c>
      <c r="F6" s="246">
        <v>64.62</v>
      </c>
      <c r="G6" s="246">
        <v>78.163960000000031</v>
      </c>
      <c r="H6" s="334">
        <v>250</v>
      </c>
      <c r="I6" s="49">
        <v>19540.990000000009</v>
      </c>
      <c r="J6" s="372">
        <v>-3385.9900000000034</v>
      </c>
      <c r="K6" s="358">
        <v>-0.17327627719987601</v>
      </c>
      <c r="L6" s="372">
        <v>-3385.9900000000034</v>
      </c>
      <c r="M6">
        <v>250</v>
      </c>
      <c r="N6" s="369" t="str">
        <f>HYPERLINK("http://finance.yahoo.com/q?s=" &amp; E6, "Link")</f>
        <v>Link</v>
      </c>
      <c r="O6" s="368">
        <v>3.0599999999999999E-2</v>
      </c>
      <c r="P6" s="368">
        <v>-4.1999999999999997E-3</v>
      </c>
      <c r="R6" s="49"/>
      <c r="T6" s="49"/>
    </row>
    <row r="7" spans="1:22" ht="21.95" customHeight="1" x14ac:dyDescent="0.25">
      <c r="A7" s="157"/>
      <c r="B7" s="51"/>
      <c r="C7" s="52"/>
      <c r="E7" s="23" t="s">
        <v>229</v>
      </c>
      <c r="F7" s="246">
        <v>22.79</v>
      </c>
      <c r="G7" s="246">
        <v>25.629266666666666</v>
      </c>
      <c r="H7" s="334">
        <v>600</v>
      </c>
      <c r="I7" s="49">
        <v>15377.56</v>
      </c>
      <c r="J7" s="372">
        <v>-1703.5599999999995</v>
      </c>
      <c r="K7" s="358">
        <v>-0.11078220471908419</v>
      </c>
      <c r="L7" s="372">
        <v>-251.30000000000109</v>
      </c>
      <c r="M7">
        <v>200</v>
      </c>
      <c r="N7" s="369" t="str">
        <f>HYPERLINK("http://finance.yahoo.com/q?s=" &amp; E7, "Link")</f>
        <v>Link</v>
      </c>
      <c r="O7" s="368">
        <v>2.06E-2</v>
      </c>
      <c r="P7" s="368">
        <v>7.1000000000000004E-3</v>
      </c>
      <c r="R7" s="49"/>
      <c r="S7" s="49"/>
      <c r="T7" s="49"/>
    </row>
    <row r="8" spans="1:22" ht="21.95" customHeight="1" x14ac:dyDescent="0.25">
      <c r="A8" s="51"/>
      <c r="B8" s="51"/>
      <c r="C8" s="52"/>
      <c r="E8" s="23" t="s">
        <v>172</v>
      </c>
      <c r="F8" s="246">
        <v>57.55</v>
      </c>
      <c r="G8" s="246">
        <v>58.896450000000002</v>
      </c>
      <c r="H8" s="334">
        <v>200</v>
      </c>
      <c r="I8" s="49">
        <v>11779.29</v>
      </c>
      <c r="J8" s="372">
        <v>-269.29000000000087</v>
      </c>
      <c r="K8" s="358">
        <v>-2.2861309977086977E-2</v>
      </c>
      <c r="L8" s="372">
        <v>-219.34000000000106</v>
      </c>
      <c r="M8">
        <v>150</v>
      </c>
      <c r="N8" s="369" t="str">
        <f>HYPERLINK("http://finance.yahoo.com/q?s=" &amp; E8, "Link")</f>
        <v>Link</v>
      </c>
      <c r="O8" s="368">
        <v>3.2500000000000001E-2</v>
      </c>
      <c r="P8" s="368">
        <v>1.43E-2</v>
      </c>
      <c r="Q8" s="150"/>
      <c r="R8" s="49"/>
      <c r="S8" s="49"/>
    </row>
    <row r="9" spans="1:22" ht="21.95" customHeight="1" x14ac:dyDescent="0.25">
      <c r="A9" s="51"/>
      <c r="B9" s="51"/>
      <c r="C9" s="52"/>
      <c r="E9" s="23" t="s">
        <v>174</v>
      </c>
      <c r="F9" s="246">
        <v>52.08</v>
      </c>
      <c r="G9" s="246">
        <v>54.097999999999999</v>
      </c>
      <c r="H9" s="334">
        <v>200</v>
      </c>
      <c r="I9" s="49">
        <v>10819.6</v>
      </c>
      <c r="J9" s="372">
        <v>-403.60000000000036</v>
      </c>
      <c r="K9" s="358">
        <v>-3.7302672926910432E-2</v>
      </c>
      <c r="L9" s="372">
        <v>801.28000000000065</v>
      </c>
      <c r="M9">
        <v>120</v>
      </c>
      <c r="N9" s="369" t="str">
        <f>HYPERLINK("http://finance.yahoo.com/q?s=" &amp; E9, "Link")</f>
        <v>Link</v>
      </c>
      <c r="O9" s="368">
        <v>2.7300000000000001E-2</v>
      </c>
      <c r="P9" s="368">
        <v>1.84E-2</v>
      </c>
      <c r="Q9" s="445"/>
      <c r="R9" s="49"/>
      <c r="S9" s="49"/>
      <c r="U9" s="49"/>
    </row>
    <row r="10" spans="1:22" ht="21.95" customHeight="1" x14ac:dyDescent="0.25">
      <c r="A10" s="51"/>
      <c r="B10" s="51"/>
      <c r="C10" s="52"/>
      <c r="E10" s="23" t="s">
        <v>9</v>
      </c>
      <c r="F10" s="246">
        <v>1.3</v>
      </c>
      <c r="G10" s="246">
        <v>2.6636025000000001</v>
      </c>
      <c r="H10" s="334">
        <v>4000</v>
      </c>
      <c r="I10" s="49">
        <v>10654.41</v>
      </c>
      <c r="J10" s="372">
        <v>-5454.41</v>
      </c>
      <c r="K10" s="358">
        <v>-0.51193918762277779</v>
      </c>
      <c r="L10" s="372">
        <v>-5019.4799999999996</v>
      </c>
      <c r="M10">
        <v>2000</v>
      </c>
      <c r="N10" s="369" t="str">
        <f>HYPERLINK("http://finance.yahoo.com/q?s=" &amp; E10, "Link")</f>
        <v>Link</v>
      </c>
      <c r="O10" s="368">
        <v>0.1963</v>
      </c>
      <c r="P10" s="368">
        <v>-7.6E-3</v>
      </c>
      <c r="Q10" s="445"/>
      <c r="R10" s="49"/>
      <c r="S10" s="49"/>
      <c r="T10" s="49"/>
    </row>
    <row r="11" spans="1:22" ht="21.95" customHeight="1" x14ac:dyDescent="0.25">
      <c r="A11" s="52"/>
      <c r="B11" s="52"/>
      <c r="C11" s="52"/>
      <c r="E11" s="23" t="s">
        <v>226</v>
      </c>
      <c r="F11" s="246">
        <v>27.03</v>
      </c>
      <c r="G11" s="246">
        <v>31.370120000000004</v>
      </c>
      <c r="H11" s="334">
        <v>250</v>
      </c>
      <c r="I11" s="49">
        <v>7842.5300000000007</v>
      </c>
      <c r="J11" s="372">
        <v>-1085.0300000000007</v>
      </c>
      <c r="K11" s="358">
        <v>-0.13835203690645753</v>
      </c>
      <c r="L11" s="372">
        <v>2225.4399999999932</v>
      </c>
      <c r="M11">
        <v>250</v>
      </c>
      <c r="N11" s="369" t="str">
        <f>HYPERLINK("http://finance.yahoo.com/q?s=" &amp; E11, "Link")</f>
        <v>Link</v>
      </c>
      <c r="O11" s="368">
        <v>4.0899999999999999E-2</v>
      </c>
      <c r="P11" s="368">
        <v>4.7999999999999996E-3</v>
      </c>
      <c r="Q11" s="150"/>
      <c r="R11" s="49"/>
      <c r="S11" s="49"/>
      <c r="T11" s="49"/>
    </row>
    <row r="12" spans="1:22" ht="21.95" customHeight="1" x14ac:dyDescent="0.25">
      <c r="A12" s="52"/>
      <c r="B12" s="52"/>
      <c r="C12" s="52"/>
      <c r="E12" s="23" t="s">
        <v>34</v>
      </c>
      <c r="F12" s="246">
        <v>30.76</v>
      </c>
      <c r="G12" s="246">
        <v>18.652675000000016</v>
      </c>
      <c r="H12" s="50">
        <v>400</v>
      </c>
      <c r="I12" s="49">
        <v>7461.070000000007</v>
      </c>
      <c r="J12" s="372">
        <v>4842.929999999993</v>
      </c>
      <c r="K12" s="358">
        <v>0.64909322657473922</v>
      </c>
      <c r="L12" s="49">
        <v>20338.796999999846</v>
      </c>
      <c r="M12" s="30">
        <v>42905</v>
      </c>
      <c r="N12" s="369" t="str">
        <f>HYPERLINK("http://finance.yahoo.com/q?s=" &amp; E12, "Link")</f>
        <v>Link</v>
      </c>
      <c r="O12" s="358">
        <v>0</v>
      </c>
      <c r="P12" s="358">
        <v>-2.9999999999999997E-4</v>
      </c>
      <c r="R12" s="49"/>
      <c r="S12" s="49"/>
    </row>
    <row r="13" spans="1:22" ht="21.95" customHeight="1" x14ac:dyDescent="0.25">
      <c r="A13" s="51"/>
      <c r="B13" s="51"/>
      <c r="C13" s="52"/>
      <c r="E13" s="23" t="s">
        <v>359</v>
      </c>
      <c r="F13" s="246">
        <v>55.66</v>
      </c>
      <c r="G13" s="246">
        <v>56.016153846153848</v>
      </c>
      <c r="H13" s="50">
        <v>130</v>
      </c>
      <c r="I13" s="49">
        <v>7282.1</v>
      </c>
      <c r="J13" s="372">
        <v>-46.300000000001091</v>
      </c>
      <c r="K13" s="358">
        <v>-6.358056055258886E-3</v>
      </c>
      <c r="L13" s="49">
        <v>-46.300000000001091</v>
      </c>
      <c r="M13">
        <v>50</v>
      </c>
      <c r="N13" s="369" t="str">
        <f>HYPERLINK("http://finance.yahoo.com/q?s=" &amp; E13, "Link")</f>
        <v>Link</v>
      </c>
      <c r="O13" s="358">
        <v>4.3499999999999997E-2</v>
      </c>
      <c r="P13" s="358">
        <v>9.1999999999999998E-3</v>
      </c>
      <c r="R13" s="49"/>
      <c r="S13" s="49"/>
      <c r="T13" s="49"/>
    </row>
    <row r="14" spans="1:22" ht="21.95" customHeight="1" x14ac:dyDescent="0.25">
      <c r="A14" s="51"/>
      <c r="B14" s="51"/>
      <c r="C14" s="52"/>
      <c r="E14" s="23" t="s">
        <v>274</v>
      </c>
      <c r="F14" s="246">
        <v>78.19</v>
      </c>
      <c r="G14" s="246">
        <v>69.666600000000003</v>
      </c>
      <c r="H14" s="334">
        <v>100</v>
      </c>
      <c r="I14" s="49">
        <v>6966.66</v>
      </c>
      <c r="J14" s="372">
        <v>852.34000000000015</v>
      </c>
      <c r="K14" s="358">
        <v>0.12234557162255651</v>
      </c>
      <c r="L14" s="372">
        <v>1010.6399999999994</v>
      </c>
      <c r="M14" s="30">
        <v>42902</v>
      </c>
      <c r="N14" s="369" t="str">
        <f>HYPERLINK("http://finance.yahoo.com/q?s=" &amp; E14, "Link")</f>
        <v>Link</v>
      </c>
      <c r="O14" s="368">
        <v>1.49E-2</v>
      </c>
      <c r="P14" s="368">
        <v>6.54E-2</v>
      </c>
      <c r="Q14" s="49"/>
      <c r="R14" s="49"/>
      <c r="S14" s="49"/>
      <c r="T14" s="49"/>
    </row>
    <row r="15" spans="1:22" ht="21.95" customHeight="1" x14ac:dyDescent="0.25">
      <c r="A15" s="51"/>
      <c r="B15" s="51"/>
      <c r="C15" s="52"/>
      <c r="E15" s="23" t="s">
        <v>345</v>
      </c>
      <c r="F15" s="246">
        <v>29.01</v>
      </c>
      <c r="G15" s="246">
        <v>30.670562499999999</v>
      </c>
      <c r="H15" s="334">
        <v>160</v>
      </c>
      <c r="I15" s="49">
        <v>4907.29</v>
      </c>
      <c r="J15" s="372">
        <v>-265.6899999999996</v>
      </c>
      <c r="K15" s="358">
        <v>-5.414189909298199E-2</v>
      </c>
      <c r="L15" s="372">
        <v>-265.6899999999996</v>
      </c>
      <c r="M15">
        <v>80</v>
      </c>
      <c r="N15" s="369" t="str">
        <f>HYPERLINK("http://finance.yahoo.com/q?s=" &amp; E15, "Link")</f>
        <v>Link</v>
      </c>
      <c r="O15" s="368">
        <v>4.24E-2</v>
      </c>
      <c r="P15" s="368">
        <v>5.2200000000000003E-2</v>
      </c>
      <c r="Q15" s="445"/>
      <c r="R15" s="49"/>
      <c r="S15" s="49"/>
      <c r="T15" s="49"/>
      <c r="V15" s="49"/>
    </row>
    <row r="16" spans="1:22" ht="21.95" customHeight="1" x14ac:dyDescent="0.25">
      <c r="A16" s="51"/>
      <c r="B16" s="51"/>
      <c r="C16" s="52"/>
      <c r="E16" s="23" t="s">
        <v>197</v>
      </c>
      <c r="F16" s="246">
        <v>52.3</v>
      </c>
      <c r="G16" s="246">
        <v>51.65</v>
      </c>
      <c r="H16" s="334">
        <v>50</v>
      </c>
      <c r="I16" s="49">
        <v>2582.5</v>
      </c>
      <c r="J16" s="372">
        <v>32.5</v>
      </c>
      <c r="K16" s="358">
        <v>1.2584704743465607E-2</v>
      </c>
      <c r="L16" s="372">
        <v>507.97999999999956</v>
      </c>
      <c r="M16" s="30">
        <v>42905</v>
      </c>
      <c r="N16" s="369" t="str">
        <f>HYPERLINK("http://finance.yahoo.com/q?s=" &amp; E16, "Link")</f>
        <v>Link</v>
      </c>
      <c r="O16" s="368">
        <v>1.29E-2</v>
      </c>
      <c r="P16" s="368">
        <v>-9.7000000000000003E-3</v>
      </c>
      <c r="Q16" s="150"/>
    </row>
    <row r="17" spans="1:20" ht="21.95" customHeight="1" x14ac:dyDescent="0.25">
      <c r="A17" s="51"/>
      <c r="B17" s="51"/>
      <c r="C17" s="52"/>
      <c r="E17" s="23" t="s">
        <v>10</v>
      </c>
      <c r="F17" s="246">
        <v>32.94</v>
      </c>
      <c r="G17" s="246">
        <v>32.94</v>
      </c>
      <c r="H17" s="334">
        <v>0</v>
      </c>
      <c r="I17" s="49">
        <v>0</v>
      </c>
      <c r="J17" s="372">
        <v>0</v>
      </c>
      <c r="K17" s="358">
        <v>0</v>
      </c>
      <c r="L17" s="372">
        <v>1128.3800000000047</v>
      </c>
      <c r="M17">
        <v>0</v>
      </c>
      <c r="N17" s="369" t="str">
        <f>HYPERLINK("http://finance.yahoo.com/q?s=" &amp; E17, "Link")</f>
        <v>Link</v>
      </c>
      <c r="O17" s="368">
        <v>1.2500000000000001E-2</v>
      </c>
      <c r="P17" s="368">
        <v>0</v>
      </c>
      <c r="Q17" s="150"/>
      <c r="T17" s="49"/>
    </row>
    <row r="18" spans="1:20" ht="21.95" customHeight="1" x14ac:dyDescent="0.25">
      <c r="A18" s="51"/>
      <c r="B18" s="51"/>
      <c r="C18" s="52"/>
      <c r="E18" s="23" t="s">
        <v>205</v>
      </c>
      <c r="F18" s="246">
        <v>153.18</v>
      </c>
      <c r="G18" s="246">
        <v>153.18</v>
      </c>
      <c r="H18" s="334">
        <v>0</v>
      </c>
      <c r="I18" s="49">
        <v>0</v>
      </c>
      <c r="J18" s="372">
        <v>0</v>
      </c>
      <c r="K18" s="358">
        <v>0</v>
      </c>
      <c r="L18" s="372">
        <v>363.09999999999945</v>
      </c>
      <c r="M18">
        <v>0</v>
      </c>
      <c r="N18" s="369" t="str">
        <f>HYPERLINK("http://finance.yahoo.com/q?s=" &amp; E18, "Link")</f>
        <v>Link</v>
      </c>
      <c r="O18" s="368">
        <v>1.5900000000000001E-2</v>
      </c>
      <c r="P18" s="368">
        <v>2.7000000000000001E-3</v>
      </c>
      <c r="R18" s="49"/>
      <c r="S18" s="49"/>
    </row>
    <row r="19" spans="1:20" ht="21.95" customHeight="1" x14ac:dyDescent="0.25">
      <c r="A19" s="51"/>
      <c r="B19" s="51"/>
      <c r="C19" s="52"/>
      <c r="E19" s="23" t="s">
        <v>254</v>
      </c>
      <c r="F19" s="246">
        <v>48.3</v>
      </c>
      <c r="G19" s="246">
        <v>48.3</v>
      </c>
      <c r="H19" s="334">
        <v>0</v>
      </c>
      <c r="I19" s="49">
        <v>0</v>
      </c>
      <c r="J19" s="372">
        <v>0</v>
      </c>
      <c r="K19" s="358">
        <v>0</v>
      </c>
      <c r="L19" s="372">
        <v>92.650000000000091</v>
      </c>
      <c r="M19">
        <v>0</v>
      </c>
      <c r="N19" s="369" t="str">
        <f>HYPERLINK("http://finance.yahoo.com/q?s=" &amp; E19, "Link")</f>
        <v>Link</v>
      </c>
      <c r="O19" s="368">
        <v>0</v>
      </c>
      <c r="P19" s="368">
        <v>2.4400000000000002E-2</v>
      </c>
      <c r="R19" s="49"/>
      <c r="S19" s="49"/>
    </row>
    <row r="20" spans="1:20" ht="21.95" customHeight="1" x14ac:dyDescent="0.25">
      <c r="A20" s="51"/>
      <c r="B20" s="51"/>
      <c r="C20" s="52"/>
      <c r="E20" s="23" t="s">
        <v>45</v>
      </c>
      <c r="F20" s="246">
        <v>86.94</v>
      </c>
      <c r="G20" s="246">
        <v>86.94</v>
      </c>
      <c r="H20" s="50">
        <v>0</v>
      </c>
      <c r="I20" s="49">
        <v>0</v>
      </c>
      <c r="J20" s="372">
        <v>0</v>
      </c>
      <c r="K20" s="358">
        <v>0</v>
      </c>
      <c r="L20" s="49">
        <v>523.61999999999898</v>
      </c>
      <c r="M20">
        <v>0</v>
      </c>
      <c r="N20" s="369" t="str">
        <f>HYPERLINK("http://finance.yahoo.com/q?s=" &amp; E20, "Link")</f>
        <v>Link</v>
      </c>
      <c r="O20" s="358">
        <v>1.67E-2</v>
      </c>
      <c r="P20" s="358">
        <v>1.1299999999999999E-2</v>
      </c>
      <c r="S20" s="49"/>
    </row>
    <row r="21" spans="1:20" ht="21.95" customHeight="1" x14ac:dyDescent="0.25">
      <c r="A21" s="52"/>
      <c r="B21" s="52"/>
      <c r="C21" s="52"/>
      <c r="E21" s="23" t="s">
        <v>341</v>
      </c>
      <c r="F21" s="246">
        <v>23.07</v>
      </c>
      <c r="G21" s="246">
        <v>23.07</v>
      </c>
      <c r="H21" s="334">
        <v>0</v>
      </c>
      <c r="I21" s="49">
        <v>0</v>
      </c>
      <c r="J21" s="372">
        <v>0</v>
      </c>
      <c r="K21" s="358">
        <v>0</v>
      </c>
      <c r="L21" s="372">
        <v>1283.4199999999946</v>
      </c>
      <c r="M21">
        <v>0</v>
      </c>
      <c r="N21" s="369" t="str">
        <f>HYPERLINK("http://finance.yahoo.com/q?s=" &amp; E21, "Link")</f>
        <v>Link</v>
      </c>
      <c r="O21" s="368">
        <v>0</v>
      </c>
      <c r="P21" s="368">
        <v>1.8499999999999999E-2</v>
      </c>
      <c r="S21" s="49"/>
    </row>
    <row r="22" spans="1:20" ht="21.95" customHeight="1" x14ac:dyDescent="0.25">
      <c r="A22" s="51"/>
      <c r="B22" s="51"/>
      <c r="C22" s="52"/>
      <c r="E22" s="23" t="s">
        <v>757</v>
      </c>
      <c r="F22" s="246">
        <v>27.97</v>
      </c>
      <c r="G22" s="246">
        <v>27.97</v>
      </c>
      <c r="H22" s="334">
        <v>0</v>
      </c>
      <c r="I22" s="49">
        <v>0</v>
      </c>
      <c r="J22" s="372">
        <v>0</v>
      </c>
      <c r="K22" s="358">
        <v>0</v>
      </c>
      <c r="L22" s="372">
        <v>309.26000000000022</v>
      </c>
      <c r="M22">
        <v>0</v>
      </c>
      <c r="N22" s="369" t="str">
        <f>HYPERLINK("http://finance.yahoo.com/q?s=" &amp; E22, "Link")</f>
        <v>Link</v>
      </c>
      <c r="O22" s="368">
        <v>8.8000000000000005E-3</v>
      </c>
      <c r="P22" s="368">
        <v>1.8200000000000001E-2</v>
      </c>
      <c r="R22" s="49"/>
      <c r="S22" s="49"/>
    </row>
    <row r="23" spans="1:20" ht="21.95" customHeight="1" x14ac:dyDescent="0.25">
      <c r="A23" s="51"/>
      <c r="B23" s="51"/>
      <c r="C23" s="52"/>
      <c r="E23" s="23" t="s">
        <v>33</v>
      </c>
      <c r="F23" s="246">
        <v>234.59</v>
      </c>
      <c r="G23" s="246">
        <v>234.59</v>
      </c>
      <c r="H23" s="334">
        <v>0</v>
      </c>
      <c r="I23" s="49">
        <v>0</v>
      </c>
      <c r="J23" s="372">
        <v>0</v>
      </c>
      <c r="K23" s="358">
        <v>0</v>
      </c>
      <c r="L23" s="372">
        <v>780.73999999999796</v>
      </c>
      <c r="M23">
        <v>0</v>
      </c>
      <c r="N23" s="369" t="str">
        <f>HYPERLINK("http://finance.yahoo.com/q?s=" &amp; E23, "Link")</f>
        <v>Link</v>
      </c>
      <c r="O23" s="368">
        <v>1.8599999999999998E-2</v>
      </c>
      <c r="P23" s="368">
        <v>-2.0400000000000001E-2</v>
      </c>
      <c r="R23" s="49"/>
      <c r="S23" s="49"/>
      <c r="T23" s="49"/>
    </row>
    <row r="24" spans="1:20" ht="21.95" customHeight="1" x14ac:dyDescent="0.25">
      <c r="A24" s="51"/>
      <c r="B24" s="51"/>
      <c r="C24" s="52"/>
      <c r="E24" s="23" t="s">
        <v>228</v>
      </c>
      <c r="F24" s="246">
        <v>78.28</v>
      </c>
      <c r="G24" s="246">
        <v>78.28</v>
      </c>
      <c r="H24" s="50">
        <v>0</v>
      </c>
      <c r="I24" s="49">
        <v>0</v>
      </c>
      <c r="J24" s="372">
        <v>0</v>
      </c>
      <c r="K24" s="358">
        <v>0</v>
      </c>
      <c r="L24" s="49">
        <v>231.53999999999996</v>
      </c>
      <c r="M24">
        <v>0</v>
      </c>
      <c r="N24" s="369" t="str">
        <f>HYPERLINK("http://finance.yahoo.com/q?s=" &amp; E24, "Link")</f>
        <v>Link</v>
      </c>
      <c r="O24" s="358">
        <v>1.6199999999999999E-2</v>
      </c>
      <c r="P24" s="358">
        <v>1.7399999999999999E-2</v>
      </c>
      <c r="Q24" s="150"/>
      <c r="R24" s="49"/>
      <c r="S24" s="49"/>
    </row>
    <row r="25" spans="1:20" ht="21.95" customHeight="1" x14ac:dyDescent="0.25">
      <c r="A25" s="51"/>
      <c r="B25" s="51"/>
      <c r="C25" s="52"/>
      <c r="E25" s="23" t="s">
        <v>62</v>
      </c>
      <c r="F25" s="246">
        <v>252.38</v>
      </c>
      <c r="G25" s="246">
        <v>252.38</v>
      </c>
      <c r="H25" s="334">
        <v>0</v>
      </c>
      <c r="I25" s="49">
        <v>0</v>
      </c>
      <c r="J25" s="372">
        <v>0</v>
      </c>
      <c r="K25" s="358">
        <v>0</v>
      </c>
      <c r="L25" s="372">
        <v>1659.3600000000079</v>
      </c>
      <c r="M25">
        <v>0</v>
      </c>
      <c r="N25" s="369" t="str">
        <f>HYPERLINK("http://finance.yahoo.com/q?s=" &amp; E25, "Link")</f>
        <v>Link</v>
      </c>
      <c r="O25" s="368">
        <v>0</v>
      </c>
      <c r="P25" s="368">
        <v>1.8599999999999998E-2</v>
      </c>
      <c r="S25" s="49"/>
    </row>
    <row r="26" spans="1:20" ht="21.95" customHeight="1" x14ac:dyDescent="0.25">
      <c r="A26" s="51"/>
      <c r="B26" s="52"/>
      <c r="C26" s="52"/>
      <c r="E26" s="23" t="s">
        <v>310</v>
      </c>
      <c r="F26" s="246">
        <v>54.53</v>
      </c>
      <c r="G26" s="246">
        <v>54.53</v>
      </c>
      <c r="H26" s="334">
        <v>0</v>
      </c>
      <c r="I26" s="49">
        <v>0</v>
      </c>
      <c r="J26" s="372">
        <v>0</v>
      </c>
      <c r="K26" s="358">
        <v>0</v>
      </c>
      <c r="L26" s="372">
        <v>910.79999999999927</v>
      </c>
      <c r="M26">
        <v>0</v>
      </c>
      <c r="N26" s="369" t="str">
        <f>HYPERLINK("http://finance.yahoo.com/q?s=" &amp; E26, "Link")</f>
        <v>Link</v>
      </c>
      <c r="O26" s="368">
        <v>2.87E-2</v>
      </c>
      <c r="P26" s="368">
        <v>1.0800000000000001E-2</v>
      </c>
      <c r="R26" s="49"/>
      <c r="S26" s="49"/>
      <c r="T26" s="49"/>
    </row>
    <row r="27" spans="1:20" ht="21.95" customHeight="1" x14ac:dyDescent="0.25">
      <c r="A27" s="51"/>
      <c r="B27" s="51"/>
      <c r="C27" s="52"/>
      <c r="E27" s="23" t="s">
        <v>52</v>
      </c>
      <c r="F27" s="246">
        <v>75.05</v>
      </c>
      <c r="G27" s="246">
        <v>75.05</v>
      </c>
      <c r="H27" s="334">
        <v>0</v>
      </c>
      <c r="I27" s="49">
        <v>0</v>
      </c>
      <c r="J27" s="372">
        <v>0</v>
      </c>
      <c r="K27" s="358">
        <v>0</v>
      </c>
      <c r="L27" s="372">
        <v>1056.739999999998</v>
      </c>
      <c r="M27">
        <v>0</v>
      </c>
      <c r="N27" s="369" t="str">
        <f>HYPERLINK("http://finance.yahoo.com/q?s=" &amp; E27, "Link")</f>
        <v>Link</v>
      </c>
      <c r="O27" s="368">
        <v>2.1999999999999999E-2</v>
      </c>
      <c r="P27" s="368">
        <v>1.0200000000000001E-2</v>
      </c>
      <c r="S27" s="49"/>
    </row>
    <row r="28" spans="1:20" ht="21.95" customHeight="1" x14ac:dyDescent="0.25">
      <c r="A28" s="52"/>
      <c r="B28" s="157"/>
      <c r="C28" s="335"/>
      <c r="E28" s="23" t="s">
        <v>328</v>
      </c>
      <c r="F28" s="246">
        <v>41.1</v>
      </c>
      <c r="G28" s="246">
        <v>41.1</v>
      </c>
      <c r="H28" s="50">
        <v>0</v>
      </c>
      <c r="I28" s="49">
        <v>0</v>
      </c>
      <c r="J28" s="372">
        <v>0</v>
      </c>
      <c r="K28" s="358">
        <v>0</v>
      </c>
      <c r="L28" s="49">
        <v>264.92000000000007</v>
      </c>
      <c r="M28">
        <v>0</v>
      </c>
      <c r="N28" s="369" t="str">
        <f>HYPERLINK("http://finance.yahoo.com/q?s=" &amp; E28, "Link")</f>
        <v>Link</v>
      </c>
      <c r="O28" s="358">
        <v>3.4200000000000001E-2</v>
      </c>
      <c r="P28" s="358">
        <v>1.5E-3</v>
      </c>
      <c r="Q28" s="150"/>
      <c r="R28" s="49"/>
      <c r="S28" s="49"/>
      <c r="T28" s="49"/>
    </row>
    <row r="29" spans="1:20" ht="21.95" customHeight="1" x14ac:dyDescent="0.25">
      <c r="A29" s="51"/>
      <c r="B29" s="51"/>
      <c r="C29" s="52"/>
      <c r="E29" s="23" t="s">
        <v>8</v>
      </c>
      <c r="F29" s="246">
        <v>78.58</v>
      </c>
      <c r="G29" s="246">
        <v>78.58</v>
      </c>
      <c r="H29" s="334">
        <v>0</v>
      </c>
      <c r="I29" s="49">
        <v>0</v>
      </c>
      <c r="J29" s="372">
        <v>0</v>
      </c>
      <c r="K29" s="358">
        <v>0</v>
      </c>
      <c r="L29" s="372">
        <v>121.94999999999982</v>
      </c>
      <c r="M29">
        <v>0</v>
      </c>
      <c r="N29" s="369" t="str">
        <f>HYPERLINK("http://finance.yahoo.com/q?s=" &amp; E29, "Link")</f>
        <v>Link</v>
      </c>
      <c r="O29" s="368">
        <v>1.67E-2</v>
      </c>
      <c r="P29" s="368">
        <v>1.49E-2</v>
      </c>
    </row>
    <row r="30" spans="1:20" ht="21.95" customHeight="1" x14ac:dyDescent="0.25">
      <c r="A30" s="52"/>
      <c r="B30" s="51"/>
      <c r="C30" s="52"/>
      <c r="E30" s="23" t="s">
        <v>284</v>
      </c>
      <c r="F30" s="246">
        <v>78.290000000000006</v>
      </c>
      <c r="G30" s="246">
        <v>78.290000000000006</v>
      </c>
      <c r="H30" s="334">
        <v>0</v>
      </c>
      <c r="I30" s="49">
        <v>0</v>
      </c>
      <c r="J30" s="372">
        <v>0</v>
      </c>
      <c r="K30" s="358">
        <v>0</v>
      </c>
      <c r="L30" s="372">
        <v>197.20999999999549</v>
      </c>
      <c r="M30">
        <v>0</v>
      </c>
      <c r="N30" s="369" t="str">
        <f>HYPERLINK("http://finance.yahoo.com/q?s=" &amp; E30, "Link")</f>
        <v>Link</v>
      </c>
      <c r="O30" s="368">
        <v>2.5499999999999998E-2</v>
      </c>
      <c r="P30" s="368">
        <v>1.9E-2</v>
      </c>
      <c r="Q30" s="445"/>
      <c r="R30" s="49"/>
      <c r="S30" s="49"/>
    </row>
    <row r="31" spans="1:20" ht="21.95" customHeight="1" x14ac:dyDescent="0.25">
      <c r="A31" s="51"/>
      <c r="B31" s="51"/>
      <c r="C31" s="52"/>
      <c r="E31" s="23" t="s">
        <v>32</v>
      </c>
      <c r="F31" s="246">
        <v>49.85</v>
      </c>
      <c r="G31" s="246">
        <v>49.85</v>
      </c>
      <c r="H31" s="334">
        <v>0</v>
      </c>
      <c r="I31" s="49">
        <v>0</v>
      </c>
      <c r="J31" s="372">
        <v>0</v>
      </c>
      <c r="K31" s="358">
        <v>0</v>
      </c>
      <c r="L31" s="372">
        <v>1198.4699999999971</v>
      </c>
      <c r="M31">
        <v>0</v>
      </c>
      <c r="N31" s="369" t="str">
        <f>HYPERLINK("http://finance.yahoo.com/q?s=" &amp; E31, "Link")</f>
        <v>Link</v>
      </c>
      <c r="O31" s="368">
        <v>1.7600000000000001E-2</v>
      </c>
      <c r="P31" s="368">
        <v>1.47E-2</v>
      </c>
      <c r="Q31" s="49"/>
      <c r="R31" s="49"/>
      <c r="S31" s="49"/>
      <c r="T31" s="49"/>
    </row>
    <row r="32" spans="1:20" ht="21.95" customHeight="1" x14ac:dyDescent="0.25">
      <c r="A32" s="51"/>
      <c r="B32" s="51"/>
      <c r="C32" s="52"/>
      <c r="E32" s="23" t="s">
        <v>63</v>
      </c>
      <c r="F32" s="246">
        <v>108.21</v>
      </c>
      <c r="G32" s="246">
        <v>108.21</v>
      </c>
      <c r="H32" s="334">
        <v>0</v>
      </c>
      <c r="I32" s="49">
        <v>0</v>
      </c>
      <c r="J32" s="372">
        <v>0</v>
      </c>
      <c r="K32" s="358">
        <v>0</v>
      </c>
      <c r="L32" s="372">
        <v>257.30999999999949</v>
      </c>
      <c r="M32">
        <v>0</v>
      </c>
      <c r="N32" s="369" t="str">
        <f>HYPERLINK("http://finance.yahoo.com/q?s=" &amp; E32, "Link")</f>
        <v>Link</v>
      </c>
      <c r="O32" s="368">
        <v>1.38E-2</v>
      </c>
      <c r="P32" s="368">
        <v>2.5000000000000001E-3</v>
      </c>
      <c r="Q32" s="445"/>
      <c r="R32" s="49"/>
      <c r="S32" s="49"/>
      <c r="T32" s="49"/>
    </row>
    <row r="33" spans="1:21" ht="21.95" customHeight="1" x14ac:dyDescent="0.25">
      <c r="A33" s="51"/>
      <c r="B33" s="51"/>
      <c r="C33" s="52"/>
      <c r="E33" s="23" t="s">
        <v>320</v>
      </c>
      <c r="F33" s="246">
        <v>117.38</v>
      </c>
      <c r="G33" s="246">
        <v>117.38</v>
      </c>
      <c r="H33" s="334">
        <v>0</v>
      </c>
      <c r="I33" s="49">
        <v>0</v>
      </c>
      <c r="J33" s="372">
        <v>0</v>
      </c>
      <c r="K33" s="358">
        <v>0</v>
      </c>
      <c r="L33" s="372">
        <v>720.56000000000131</v>
      </c>
      <c r="M33">
        <v>0</v>
      </c>
      <c r="N33" s="369" t="str">
        <f>HYPERLINK("http://finance.yahoo.com/q?s=" &amp; E33, "Link")</f>
        <v>Link</v>
      </c>
      <c r="O33" s="368">
        <v>0</v>
      </c>
      <c r="P33" s="368">
        <v>2.01E-2</v>
      </c>
      <c r="R33" s="49"/>
      <c r="S33" s="49"/>
    </row>
    <row r="34" spans="1:21" ht="21.95" customHeight="1" x14ac:dyDescent="0.25">
      <c r="A34" s="51"/>
      <c r="B34" s="52"/>
      <c r="C34" s="52"/>
      <c r="E34" s="23" t="s">
        <v>199</v>
      </c>
      <c r="F34" s="246">
        <v>11.41</v>
      </c>
      <c r="G34" s="246">
        <v>11.41</v>
      </c>
      <c r="H34" s="50">
        <v>0</v>
      </c>
      <c r="I34" s="49">
        <v>0</v>
      </c>
      <c r="J34" s="372">
        <v>0</v>
      </c>
      <c r="K34" s="358">
        <v>0</v>
      </c>
      <c r="L34" s="49">
        <v>251.26000000000022</v>
      </c>
      <c r="M34">
        <v>0</v>
      </c>
      <c r="N34" s="369" t="str">
        <f>HYPERLINK("http://finance.yahoo.com/q?s=" &amp; E34, "Link")</f>
        <v>Link</v>
      </c>
      <c r="O34" s="358">
        <v>5.1499999999999997E-2</v>
      </c>
      <c r="P34" s="358">
        <v>2.6100000000000002E-2</v>
      </c>
      <c r="S34" s="49"/>
    </row>
    <row r="35" spans="1:21" ht="21.95" customHeight="1" x14ac:dyDescent="0.25">
      <c r="A35" s="52"/>
      <c r="B35" s="52"/>
      <c r="C35" s="52"/>
      <c r="E35" s="23" t="s">
        <v>275</v>
      </c>
      <c r="F35" s="246">
        <v>27.82</v>
      </c>
      <c r="G35" s="246">
        <v>27.82</v>
      </c>
      <c r="H35" s="50">
        <v>0</v>
      </c>
      <c r="I35" s="49">
        <v>0</v>
      </c>
      <c r="J35" s="372">
        <v>0</v>
      </c>
      <c r="K35" s="358">
        <v>0</v>
      </c>
      <c r="L35" s="49">
        <v>98.449999999999818</v>
      </c>
      <c r="M35">
        <v>0</v>
      </c>
      <c r="N35" s="369" t="str">
        <f>HYPERLINK("http://finance.yahoo.com/q?s=" &amp; E35, "Link")</f>
        <v>Link</v>
      </c>
      <c r="O35" s="358">
        <v>1.11E-2</v>
      </c>
      <c r="P35" s="358">
        <v>2.58E-2</v>
      </c>
      <c r="R35" s="49"/>
      <c r="T35" s="49"/>
    </row>
    <row r="36" spans="1:21" ht="21.95" customHeight="1" x14ac:dyDescent="0.25">
      <c r="A36" s="51"/>
      <c r="B36" s="51"/>
      <c r="C36" s="52"/>
      <c r="E36" s="23" t="s">
        <v>56</v>
      </c>
      <c r="F36" s="246">
        <v>34.43</v>
      </c>
      <c r="G36" s="246">
        <v>34.43</v>
      </c>
      <c r="H36" s="334">
        <v>0</v>
      </c>
      <c r="I36" s="49">
        <v>0</v>
      </c>
      <c r="J36" s="372">
        <v>0</v>
      </c>
      <c r="K36" s="358">
        <v>0</v>
      </c>
      <c r="L36" s="372">
        <v>36.819999999999709</v>
      </c>
      <c r="M36">
        <v>0</v>
      </c>
      <c r="N36" s="369" t="str">
        <f>HYPERLINK("http://finance.yahoo.com/q?s=" &amp; E36, "Link")</f>
        <v>Link</v>
      </c>
      <c r="O36" s="368">
        <v>4.2999999999999997E-2</v>
      </c>
      <c r="P36" s="368">
        <v>1.47E-2</v>
      </c>
      <c r="Q36" s="150"/>
      <c r="S36" s="49"/>
      <c r="T36" s="49"/>
    </row>
    <row r="37" spans="1:21" ht="21.95" customHeight="1" x14ac:dyDescent="0.25">
      <c r="A37" s="51"/>
      <c r="B37" s="51"/>
      <c r="C37" s="52"/>
      <c r="E37" s="23" t="s">
        <v>22</v>
      </c>
      <c r="F37" s="246">
        <v>46.65</v>
      </c>
      <c r="G37" s="246">
        <v>46.65</v>
      </c>
      <c r="H37" s="334">
        <v>0</v>
      </c>
      <c r="I37" s="435">
        <v>0</v>
      </c>
      <c r="J37" s="372">
        <v>0</v>
      </c>
      <c r="K37" s="358">
        <v>0</v>
      </c>
      <c r="L37" s="372">
        <v>3178.8000000000466</v>
      </c>
      <c r="M37">
        <v>0</v>
      </c>
      <c r="N37" s="369" t="str">
        <f>HYPERLINK("http://finance.yahoo.com/q?s=" &amp; E37, "Link")</f>
        <v>Link</v>
      </c>
      <c r="O37" s="368">
        <v>2.07E-2</v>
      </c>
      <c r="P37" s="368">
        <v>1.66E-2</v>
      </c>
      <c r="R37" s="49"/>
      <c r="S37" s="49"/>
      <c r="T37" s="49"/>
    </row>
    <row r="38" spans="1:21" ht="21.95" customHeight="1" x14ac:dyDescent="0.25">
      <c r="A38" s="51"/>
      <c r="B38" s="51"/>
      <c r="C38" s="52"/>
      <c r="E38" s="23" t="s">
        <v>27</v>
      </c>
      <c r="F38" s="246">
        <v>36.119999999999997</v>
      </c>
      <c r="G38" s="246">
        <v>36.119999999999997</v>
      </c>
      <c r="H38" s="334">
        <v>0</v>
      </c>
      <c r="I38" s="49">
        <v>0</v>
      </c>
      <c r="J38" s="372">
        <v>0</v>
      </c>
      <c r="K38" s="358">
        <v>0</v>
      </c>
      <c r="L38" s="372">
        <v>1407.5400000000009</v>
      </c>
      <c r="M38">
        <v>0</v>
      </c>
      <c r="N38" s="369" t="str">
        <f>HYPERLINK("http://finance.yahoo.com/q?s=" &amp; E38, "Link")</f>
        <v>Link</v>
      </c>
      <c r="O38" s="368">
        <v>3.0200000000000001E-2</v>
      </c>
      <c r="P38" s="368">
        <v>2.9999999999999997E-4</v>
      </c>
      <c r="Q38" s="150"/>
      <c r="R38" s="49"/>
      <c r="S38" s="49"/>
      <c r="T38" s="49"/>
    </row>
    <row r="39" spans="1:21" ht="21.95" customHeight="1" x14ac:dyDescent="0.25">
      <c r="A39" s="52"/>
      <c r="B39" s="52"/>
      <c r="C39" s="52"/>
      <c r="E39" s="23" t="s">
        <v>173</v>
      </c>
      <c r="F39" s="246">
        <v>53.88</v>
      </c>
      <c r="G39" s="246">
        <v>53.88</v>
      </c>
      <c r="H39" s="334">
        <v>0</v>
      </c>
      <c r="I39" s="49">
        <v>0</v>
      </c>
      <c r="J39" s="372">
        <v>0</v>
      </c>
      <c r="K39" s="358">
        <v>0</v>
      </c>
      <c r="L39" s="372">
        <v>119.92000000000053</v>
      </c>
      <c r="M39">
        <v>0</v>
      </c>
      <c r="N39" s="369" t="str">
        <f>HYPERLINK("http://finance.yahoo.com/q?s=" &amp; E39, "Link")</f>
        <v>Link</v>
      </c>
      <c r="O39" s="368">
        <v>3.6400000000000002E-2</v>
      </c>
      <c r="P39" s="368">
        <v>1.89E-2</v>
      </c>
      <c r="Q39" s="49"/>
      <c r="S39" s="49"/>
    </row>
    <row r="40" spans="1:21" ht="21.95" customHeight="1" x14ac:dyDescent="0.25">
      <c r="A40" s="51"/>
      <c r="B40" s="52"/>
      <c r="C40" s="52"/>
      <c r="E40" s="23" t="s">
        <v>278</v>
      </c>
      <c r="F40" s="246">
        <v>128.78</v>
      </c>
      <c r="G40" s="246">
        <v>128.78</v>
      </c>
      <c r="H40" s="334">
        <v>0</v>
      </c>
      <c r="I40" s="49">
        <v>0</v>
      </c>
      <c r="J40" s="372">
        <v>0</v>
      </c>
      <c r="K40" s="358">
        <v>0</v>
      </c>
      <c r="L40" s="372">
        <v>154.77999999999975</v>
      </c>
      <c r="M40">
        <v>0</v>
      </c>
      <c r="N40" s="369" t="str">
        <f>HYPERLINK("http://finance.yahoo.com/q?s=" &amp; E40, "Link")</f>
        <v>Link</v>
      </c>
      <c r="O40" s="368">
        <v>2.5700000000000001E-2</v>
      </c>
      <c r="P40" s="368">
        <v>4.1000000000000003E-3</v>
      </c>
      <c r="Q40" s="150"/>
      <c r="S40" s="49"/>
    </row>
    <row r="41" spans="1:21" ht="21.95" customHeight="1" x14ac:dyDescent="0.25">
      <c r="A41" s="51"/>
      <c r="B41" s="52"/>
      <c r="C41" s="52"/>
      <c r="E41" s="23" t="s">
        <v>24</v>
      </c>
      <c r="F41" s="246">
        <v>33.08</v>
      </c>
      <c r="G41" s="246">
        <v>33.08</v>
      </c>
      <c r="H41" s="334">
        <v>0</v>
      </c>
      <c r="I41" s="49">
        <v>0</v>
      </c>
      <c r="J41" s="372">
        <v>0</v>
      </c>
      <c r="K41" s="358">
        <v>0</v>
      </c>
      <c r="L41" s="372">
        <v>937.36999999999534</v>
      </c>
      <c r="M41">
        <v>0</v>
      </c>
      <c r="N41" s="369" t="str">
        <f>HYPERLINK("http://finance.yahoo.com/q?s=" &amp; E41, "Link")</f>
        <v>Link</v>
      </c>
      <c r="O41" s="368">
        <v>0</v>
      </c>
      <c r="P41" s="368">
        <v>-3.0000000000000001E-3</v>
      </c>
      <c r="Q41" s="150"/>
      <c r="R41" s="49"/>
    </row>
    <row r="42" spans="1:21" ht="21.95" customHeight="1" x14ac:dyDescent="0.25">
      <c r="A42" s="52"/>
      <c r="B42" s="52"/>
      <c r="C42" s="52"/>
      <c r="E42" s="23" t="s">
        <v>36</v>
      </c>
      <c r="F42" s="246">
        <v>60.3</v>
      </c>
      <c r="G42" s="246">
        <v>60.3</v>
      </c>
      <c r="H42" s="50">
        <v>0</v>
      </c>
      <c r="I42" s="49">
        <v>0</v>
      </c>
      <c r="J42" s="372">
        <v>0</v>
      </c>
      <c r="K42" s="358">
        <v>0</v>
      </c>
      <c r="L42" s="49">
        <v>117.73999999999978</v>
      </c>
      <c r="M42">
        <v>0</v>
      </c>
      <c r="N42" s="369" t="str">
        <f>HYPERLINK("http://finance.yahoo.com/q?s=" &amp; E42, "Link")</f>
        <v>Link</v>
      </c>
      <c r="O42" s="358">
        <v>7.4000000000000003E-3</v>
      </c>
      <c r="P42" s="358">
        <v>3.5000000000000001E-3</v>
      </c>
      <c r="Q42" s="49"/>
      <c r="R42" s="49"/>
      <c r="S42" s="49"/>
      <c r="T42" s="49"/>
    </row>
    <row r="43" spans="1:21" ht="21.95" customHeight="1" x14ac:dyDescent="0.25">
      <c r="A43" s="61"/>
      <c r="B43" s="62"/>
      <c r="C43" s="61"/>
      <c r="E43" s="23" t="s">
        <v>206</v>
      </c>
      <c r="F43" s="246">
        <v>39.56</v>
      </c>
      <c r="G43" s="246">
        <v>39.56</v>
      </c>
      <c r="H43" s="50">
        <v>0</v>
      </c>
      <c r="I43" s="49">
        <v>0</v>
      </c>
      <c r="J43" s="372">
        <v>0</v>
      </c>
      <c r="K43" s="358">
        <v>0</v>
      </c>
      <c r="L43" s="49">
        <v>439.77999999999975</v>
      </c>
      <c r="M43">
        <v>0</v>
      </c>
      <c r="N43" s="369" t="str">
        <f>HYPERLINK("http://finance.yahoo.com/q?s=" &amp; E43, "Link")</f>
        <v>Link</v>
      </c>
      <c r="O43" s="358">
        <v>0</v>
      </c>
      <c r="P43" s="358">
        <v>1.49E-2</v>
      </c>
      <c r="R43" s="49"/>
    </row>
    <row r="44" spans="1:21" ht="21.95" customHeight="1" x14ac:dyDescent="0.25">
      <c r="A44" s="51"/>
      <c r="B44" s="51"/>
      <c r="C44" s="52"/>
      <c r="E44" s="23" t="s">
        <v>276</v>
      </c>
      <c r="F44" s="246">
        <v>50.93</v>
      </c>
      <c r="G44" s="246">
        <v>50.93</v>
      </c>
      <c r="H44" s="334">
        <v>0</v>
      </c>
      <c r="I44" s="49">
        <v>0</v>
      </c>
      <c r="J44" s="372">
        <v>0</v>
      </c>
      <c r="K44" s="358">
        <v>0</v>
      </c>
      <c r="L44" s="372">
        <v>427.92000000000007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1.9199999999999998E-2</v>
      </c>
      <c r="Q44" s="150"/>
      <c r="S44" s="49"/>
      <c r="U44" s="49"/>
    </row>
    <row r="45" spans="1:21" ht="21.95" customHeight="1" x14ac:dyDescent="0.25">
      <c r="A45" s="51"/>
      <c r="B45" s="51"/>
      <c r="C45" s="52"/>
      <c r="E45" s="23" t="s">
        <v>47</v>
      </c>
      <c r="F45" s="246">
        <v>124.5</v>
      </c>
      <c r="G45" s="246">
        <v>124.5</v>
      </c>
      <c r="H45" s="50">
        <v>0</v>
      </c>
      <c r="I45" s="49">
        <v>0</v>
      </c>
      <c r="J45" s="372">
        <v>0</v>
      </c>
      <c r="K45" s="358">
        <v>0</v>
      </c>
      <c r="L45" s="49">
        <v>-168.6200000000008</v>
      </c>
      <c r="M45">
        <v>0</v>
      </c>
      <c r="N45" s="369" t="str">
        <f>HYPERLINK("http://finance.yahoo.com/q?s=" &amp; E45, "Link")</f>
        <v>Link</v>
      </c>
      <c r="O45" s="358">
        <v>2.18E-2</v>
      </c>
      <c r="P45" s="358">
        <v>3.8E-3</v>
      </c>
      <c r="Q45" s="49"/>
      <c r="R45" s="49"/>
      <c r="U45" s="49"/>
    </row>
    <row r="46" spans="1:21" ht="21.95" customHeight="1" x14ac:dyDescent="0.25">
      <c r="A46" s="51"/>
      <c r="B46" s="51"/>
      <c r="C46" s="52"/>
      <c r="E46" s="23" t="s">
        <v>175</v>
      </c>
      <c r="F46" s="246">
        <v>53.01</v>
      </c>
      <c r="G46" s="246">
        <v>53.01</v>
      </c>
      <c r="H46" s="50">
        <v>0</v>
      </c>
      <c r="I46" s="49">
        <v>0</v>
      </c>
      <c r="J46" s="372">
        <v>0</v>
      </c>
      <c r="K46" s="358">
        <v>0</v>
      </c>
      <c r="L46" s="49">
        <v>75.019999999999982</v>
      </c>
      <c r="M46">
        <v>0</v>
      </c>
      <c r="N46" s="369" t="str">
        <f>HYPERLINK("http://finance.yahoo.com/q?s=" &amp; E46, "Link")</f>
        <v>Link</v>
      </c>
      <c r="O46" s="358">
        <v>1.61E-2</v>
      </c>
      <c r="P46" s="358">
        <v>1.1000000000000001E-3</v>
      </c>
      <c r="S46" s="49"/>
      <c r="T46" s="49"/>
    </row>
    <row r="47" spans="1:21" ht="21.95" customHeight="1" x14ac:dyDescent="0.25">
      <c r="A47" s="51"/>
      <c r="B47" s="51"/>
      <c r="C47" s="52"/>
      <c r="E47" s="23" t="s">
        <v>23</v>
      </c>
      <c r="F47" s="246">
        <v>35.090000000000003</v>
      </c>
      <c r="G47" s="246">
        <v>35.090000000000003</v>
      </c>
      <c r="H47" s="334">
        <v>0</v>
      </c>
      <c r="I47" s="49">
        <v>0</v>
      </c>
      <c r="J47" s="372">
        <v>0</v>
      </c>
      <c r="K47" s="358">
        <v>0</v>
      </c>
      <c r="L47" s="372">
        <v>171.89999999999964</v>
      </c>
      <c r="M47">
        <v>0</v>
      </c>
      <c r="N47" s="369" t="str">
        <f>HYPERLINK("http://finance.yahoo.com/q?s=" &amp; E47, "Link")</f>
        <v>Link</v>
      </c>
      <c r="O47" s="368">
        <v>0</v>
      </c>
      <c r="P47" s="368">
        <v>1.6500000000000001E-2</v>
      </c>
    </row>
    <row r="48" spans="1:21" ht="21.95" customHeight="1" x14ac:dyDescent="0.25">
      <c r="A48" s="51"/>
      <c r="B48" s="51"/>
      <c r="C48" s="52"/>
      <c r="E48" s="23" t="s">
        <v>176</v>
      </c>
      <c r="F48" s="246">
        <v>243.36</v>
      </c>
      <c r="G48" s="246">
        <v>243.36</v>
      </c>
      <c r="H48" s="50">
        <v>0</v>
      </c>
      <c r="I48" s="49">
        <v>0</v>
      </c>
      <c r="J48" s="372">
        <v>0</v>
      </c>
      <c r="K48" s="358">
        <v>0</v>
      </c>
      <c r="L48" s="49">
        <v>160.82999999999993</v>
      </c>
      <c r="M48">
        <v>0</v>
      </c>
      <c r="N48" s="369" t="str">
        <f>HYPERLINK("http://finance.yahoo.com/q?s=" &amp; E48, "Link")</f>
        <v>Link</v>
      </c>
      <c r="O48" s="358">
        <v>0</v>
      </c>
      <c r="P48" s="358">
        <v>8.0000000000000002E-3</v>
      </c>
      <c r="Q48" s="445"/>
      <c r="R48" s="49"/>
      <c r="S48" s="49"/>
    </row>
    <row r="49" spans="1:22" ht="21.95" customHeight="1" x14ac:dyDescent="0.25">
      <c r="A49" s="61"/>
      <c r="B49" s="62"/>
      <c r="C49" s="61"/>
      <c r="E49" s="23" t="s">
        <v>171</v>
      </c>
      <c r="F49" s="246">
        <v>107.68</v>
      </c>
      <c r="G49" s="246">
        <v>107.68</v>
      </c>
      <c r="H49" s="50">
        <v>0</v>
      </c>
      <c r="I49" s="49">
        <v>0</v>
      </c>
      <c r="J49" s="372">
        <v>0</v>
      </c>
      <c r="K49" s="358">
        <v>0</v>
      </c>
      <c r="L49" s="49">
        <v>1368.9000000000015</v>
      </c>
      <c r="M49">
        <v>0</v>
      </c>
      <c r="N49" s="369" t="str">
        <f>HYPERLINK("http://finance.yahoo.com/q?s=" &amp; E49, "Link")</f>
        <v>Link</v>
      </c>
      <c r="O49" s="358">
        <v>1.14E-2</v>
      </c>
      <c r="P49" s="358">
        <v>1.17E-2</v>
      </c>
      <c r="Q49" s="150"/>
      <c r="R49" s="49"/>
      <c r="S49" s="49"/>
      <c r="T49" s="49"/>
    </row>
    <row r="50" spans="1:22" ht="21.95" customHeight="1" x14ac:dyDescent="0.25">
      <c r="A50" s="52"/>
      <c r="B50" s="157"/>
      <c r="C50" s="335"/>
      <c r="E50" s="23" t="s">
        <v>39</v>
      </c>
      <c r="F50" s="246">
        <v>47.15</v>
      </c>
      <c r="G50" s="246">
        <v>47.15</v>
      </c>
      <c r="H50" s="334">
        <v>0</v>
      </c>
      <c r="I50" s="49">
        <v>0</v>
      </c>
      <c r="J50" s="372">
        <v>0</v>
      </c>
      <c r="K50" s="358">
        <v>0</v>
      </c>
      <c r="L50" s="372">
        <v>529.88000000000284</v>
      </c>
      <c r="M50">
        <v>0</v>
      </c>
      <c r="N50" s="369" t="str">
        <f>HYPERLINK("http://finance.yahoo.com/q?s=" &amp; E50, "Link")</f>
        <v>Link</v>
      </c>
      <c r="O50" s="368">
        <v>2.3E-2</v>
      </c>
      <c r="P50" s="368">
        <v>2.1700000000000001E-2</v>
      </c>
      <c r="R50" s="49"/>
    </row>
    <row r="51" spans="1:22" ht="21.95" customHeight="1" x14ac:dyDescent="0.25">
      <c r="A51" s="157"/>
      <c r="B51" s="51"/>
      <c r="C51" s="52"/>
      <c r="E51" s="23" t="s">
        <v>0</v>
      </c>
      <c r="F51" s="246">
        <v>174.82</v>
      </c>
      <c r="G51" s="246">
        <v>174.82</v>
      </c>
      <c r="H51" s="334">
        <v>0</v>
      </c>
      <c r="I51" s="49">
        <v>0</v>
      </c>
      <c r="J51" s="372">
        <v>0</v>
      </c>
      <c r="K51" s="358">
        <v>0</v>
      </c>
      <c r="L51" s="372">
        <v>465.57999999999993</v>
      </c>
      <c r="M51">
        <v>0</v>
      </c>
      <c r="N51" s="369" t="str">
        <f>HYPERLINK("http://finance.yahoo.com/q?s=" &amp; E51, "Link")</f>
        <v>Link</v>
      </c>
      <c r="O51" s="368">
        <v>3.8999999999999998E-3</v>
      </c>
      <c r="P51" s="368">
        <v>1.17E-2</v>
      </c>
      <c r="Q51" s="49"/>
      <c r="R51" s="49"/>
      <c r="S51" s="49"/>
      <c r="T51" s="49"/>
    </row>
    <row r="52" spans="1:22" ht="21.95" customHeight="1" x14ac:dyDescent="0.25">
      <c r="A52" s="51"/>
      <c r="B52" s="51"/>
      <c r="C52" s="52"/>
      <c r="E52" s="23" t="s">
        <v>13</v>
      </c>
      <c r="F52" s="246">
        <v>80.98</v>
      </c>
      <c r="G52" s="246">
        <v>80.98</v>
      </c>
      <c r="H52" s="334">
        <v>0</v>
      </c>
      <c r="I52" s="49">
        <v>0</v>
      </c>
      <c r="J52" s="372">
        <v>0</v>
      </c>
      <c r="K52" s="358">
        <v>0</v>
      </c>
      <c r="L52" s="372">
        <v>1461.5600000000013</v>
      </c>
      <c r="M52">
        <v>0</v>
      </c>
      <c r="N52" s="369" t="str">
        <f>HYPERLINK("http://finance.yahoo.com/q?s=" &amp; E52, "Link")</f>
        <v>Link</v>
      </c>
      <c r="O52" s="368">
        <v>0</v>
      </c>
      <c r="P52" s="368">
        <v>1.6400000000000001E-2</v>
      </c>
      <c r="Q52" s="150"/>
      <c r="R52" s="49"/>
      <c r="S52" s="49"/>
    </row>
    <row r="53" spans="1:22" ht="21.95" customHeight="1" x14ac:dyDescent="0.25">
      <c r="A53" s="51"/>
      <c r="B53" s="51"/>
      <c r="C53" s="52"/>
      <c r="E53" s="23" t="s">
        <v>51</v>
      </c>
      <c r="F53" s="246">
        <v>179.58</v>
      </c>
      <c r="G53" s="246">
        <v>179.58</v>
      </c>
      <c r="H53" s="50">
        <v>0</v>
      </c>
      <c r="I53" s="49">
        <v>0</v>
      </c>
      <c r="J53" s="372">
        <v>0</v>
      </c>
      <c r="K53" s="358">
        <v>0</v>
      </c>
      <c r="L53" s="49">
        <v>176.70000000000073</v>
      </c>
      <c r="M53">
        <v>0</v>
      </c>
      <c r="N53" s="369" t="str">
        <f>HYPERLINK("http://finance.yahoo.com/q?s=" &amp; E53, "Link")</f>
        <v>Link</v>
      </c>
      <c r="O53" s="358">
        <v>1.52E-2</v>
      </c>
      <c r="P53" s="358">
        <v>2.5100000000000001E-2</v>
      </c>
      <c r="Q53" s="150"/>
      <c r="S53" s="49"/>
      <c r="T53" s="49"/>
    </row>
    <row r="54" spans="1:22" ht="21.95" customHeight="1" x14ac:dyDescent="0.25">
      <c r="A54" s="52"/>
      <c r="B54" s="52"/>
      <c r="C54" s="52"/>
      <c r="E54" s="23" t="s">
        <v>42</v>
      </c>
      <c r="F54" s="246">
        <v>110.59</v>
      </c>
      <c r="G54" s="246">
        <v>110.59</v>
      </c>
      <c r="H54" s="50">
        <v>0</v>
      </c>
      <c r="I54" s="49">
        <v>0</v>
      </c>
      <c r="J54" s="372">
        <v>0</v>
      </c>
      <c r="K54" s="358">
        <v>0</v>
      </c>
      <c r="L54" s="49">
        <v>128.08999999999833</v>
      </c>
      <c r="M54">
        <v>0</v>
      </c>
      <c r="N54" s="369" t="str">
        <f>HYPERLINK("http://finance.yahoo.com/q?s=" &amp; E54, "Link")</f>
        <v>Link</v>
      </c>
      <c r="O54" s="358">
        <v>2.18E-2</v>
      </c>
      <c r="P54" s="358">
        <v>2.5999999999999999E-3</v>
      </c>
      <c r="S54" s="49"/>
      <c r="T54" s="49"/>
    </row>
    <row r="55" spans="1:22" ht="21.95" customHeight="1" x14ac:dyDescent="0.25">
      <c r="A55" s="51"/>
      <c r="B55" s="51"/>
      <c r="C55" s="52"/>
      <c r="E55" s="23" t="s">
        <v>54</v>
      </c>
      <c r="F55" s="246">
        <v>121.79</v>
      </c>
      <c r="G55" s="50">
        <v>121.79</v>
      </c>
      <c r="H55" s="334">
        <v>0</v>
      </c>
      <c r="I55" s="49">
        <v>0</v>
      </c>
      <c r="J55" s="372">
        <v>0</v>
      </c>
      <c r="K55" s="358">
        <v>0</v>
      </c>
      <c r="L55" s="372">
        <v>114.84999999999991</v>
      </c>
      <c r="M55">
        <v>0</v>
      </c>
      <c r="N55" s="369" t="str">
        <f>HYPERLINK("http://finance.yahoo.com/q?s=" &amp; E55, "Link")</f>
        <v>Link</v>
      </c>
      <c r="O55" s="368">
        <v>2.35E-2</v>
      </c>
      <c r="P55" s="368">
        <v>4.1999999999999997E-3</v>
      </c>
      <c r="Q55" s="49"/>
      <c r="R55" s="49"/>
      <c r="S55" s="49"/>
      <c r="T55" s="356"/>
      <c r="U55" s="356"/>
    </row>
    <row r="56" spans="1:22" ht="21.95" customHeight="1" x14ac:dyDescent="0.25">
      <c r="A56" s="51"/>
      <c r="B56" s="51"/>
      <c r="C56" s="51"/>
      <c r="E56" s="23" t="s">
        <v>227</v>
      </c>
      <c r="F56" s="246">
        <v>56.6</v>
      </c>
      <c r="G56" s="246">
        <v>56.6</v>
      </c>
      <c r="H56" s="334">
        <v>0</v>
      </c>
      <c r="I56" s="49">
        <v>0</v>
      </c>
      <c r="J56" s="372">
        <v>0</v>
      </c>
      <c r="K56" s="358">
        <v>0</v>
      </c>
      <c r="L56" s="372">
        <v>257.64999999999964</v>
      </c>
      <c r="M56">
        <v>0</v>
      </c>
      <c r="N56" s="369" t="str">
        <f>HYPERLINK("http://finance.yahoo.com/q?s=" &amp; E56, "Link")</f>
        <v>Link</v>
      </c>
      <c r="O56" s="368">
        <v>0</v>
      </c>
      <c r="P56" s="368">
        <v>6.8999999999999999E-3</v>
      </c>
      <c r="S56" s="49"/>
    </row>
    <row r="57" spans="1:22" ht="21.95" customHeight="1" x14ac:dyDescent="0.25">
      <c r="A57" s="51"/>
      <c r="B57" s="51"/>
      <c r="C57" s="52"/>
      <c r="E57" s="23" t="s">
        <v>53</v>
      </c>
      <c r="F57" s="246">
        <v>69.14</v>
      </c>
      <c r="G57" s="246">
        <v>69.14</v>
      </c>
      <c r="H57" s="334">
        <v>0</v>
      </c>
      <c r="I57" s="49">
        <v>0</v>
      </c>
      <c r="J57" s="372">
        <v>0</v>
      </c>
      <c r="K57" s="358">
        <v>0</v>
      </c>
      <c r="L57" s="372">
        <v>33.940000000000055</v>
      </c>
      <c r="M57">
        <v>0</v>
      </c>
      <c r="N57" s="369" t="str">
        <f>HYPERLINK("http://finance.yahoo.com/q?s=" &amp; E57, "Link")</f>
        <v>Link</v>
      </c>
      <c r="O57" s="368">
        <v>7.4000000000000003E-3</v>
      </c>
      <c r="P57" s="368">
        <v>1.4999999999999999E-2</v>
      </c>
      <c r="R57" s="49"/>
    </row>
    <row r="58" spans="1:22" ht="21.95" customHeight="1" x14ac:dyDescent="0.25">
      <c r="A58" s="51"/>
      <c r="B58" s="51"/>
      <c r="C58" s="51"/>
      <c r="E58" s="23"/>
      <c r="H58" s="334"/>
      <c r="J58" s="372"/>
      <c r="K58" s="358"/>
      <c r="L58" s="372"/>
      <c r="N58" s="369"/>
      <c r="O58" s="368"/>
      <c r="P58" s="368"/>
    </row>
    <row r="59" spans="1:22" ht="21.95" customHeight="1" x14ac:dyDescent="0.25">
      <c r="A59" s="52"/>
      <c r="B59" s="52"/>
      <c r="C59" s="52"/>
      <c r="E59" s="23"/>
      <c r="H59" s="334"/>
      <c r="J59" s="372"/>
      <c r="K59" s="358"/>
      <c r="L59" s="372"/>
      <c r="N59" s="369"/>
      <c r="O59" s="368"/>
      <c r="P59" s="368"/>
      <c r="Q59" s="49"/>
      <c r="R59" s="49"/>
      <c r="T59" s="49"/>
      <c r="V59" s="49"/>
    </row>
    <row r="60" spans="1:22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S60" s="49"/>
      <c r="T60" s="49"/>
    </row>
  </sheetData>
  <sortState ref="E2:P57">
    <sortCondition descending="1" ref="I1"/>
  </sortState>
  <dataConsolidate/>
  <conditionalFormatting sqref="O1:O1048576">
    <cfRule type="expression" dxfId="133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38" priority="13">
      <formula>$H2=0</formula>
    </cfRule>
  </conditionalFormatting>
  <conditionalFormatting sqref="J2:K200">
    <cfRule type="expression" dxfId="1337" priority="14">
      <formula>$J2=0</formula>
    </cfRule>
  </conditionalFormatting>
  <conditionalFormatting sqref="L1:L1048576">
    <cfRule type="expression" dxfId="1336" priority="12">
      <formula>$L2=0</formula>
    </cfRule>
  </conditionalFormatting>
  <conditionalFormatting sqref="M1">
    <cfRule type="expression" dxfId="1335" priority="8">
      <formula>$L2=0</formula>
    </cfRule>
  </conditionalFormatting>
  <conditionalFormatting sqref="J2:K58">
    <cfRule type="expression" dxfId="1334" priority="56">
      <formula>$J2&gt;0</formula>
    </cfRule>
  </conditionalFormatting>
  <conditionalFormatting sqref="L2:L58">
    <cfRule type="expression" dxfId="1333" priority="10">
      <formula>$L2&lt;0</formula>
    </cfRule>
    <cfRule type="expression" dxfId="1332" priority="11">
      <formula>$L2&gt;0</formula>
    </cfRule>
  </conditionalFormatting>
  <conditionalFormatting sqref="J2:K458">
    <cfRule type="expression" dxfId="1331" priority="55">
      <formula>$J2&lt;0</formula>
    </cfRule>
  </conditionalFormatting>
  <conditionalFormatting sqref="P1:P1048576">
    <cfRule type="expression" dxfId="133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5" location="BIIB!A1" display="BIIB"/>
    <hyperlink ref="E43" location="MYL!A1" display="MYL"/>
    <hyperlink ref="E5" location="SIG!A1" display="SIG"/>
    <hyperlink ref="E18" location="AAPL!A1" display="AAPL"/>
    <hyperlink ref="E24" location="AXP!A1" display="AXP"/>
    <hyperlink ref="E14" location="DG!A1" display="DG"/>
    <hyperlink ref="E47" location="PINC!A1" display="PINC"/>
    <hyperlink ref="E35" location="FOXA!A1" display="FOXA"/>
    <hyperlink ref="E21" location="AOBC!A1" display="AOBC"/>
    <hyperlink ref="E42" location="LUV!A1" display="LUV"/>
    <hyperlink ref="E28" location="CCE!A1" display="CCE"/>
    <hyperlink ref="E26" location="BMY!A1" display="BMY"/>
    <hyperlink ref="E19" location="AKAM!A1" display="AKAM"/>
    <hyperlink ref="E22" location="ARNC!A1" display="ARNC"/>
    <hyperlink ref="E30" location="CVS!A1" display="CVS"/>
    <hyperlink ref="E2" location="MRO!A1" display="MRO"/>
    <hyperlink ref="E3" location="KR!A1" display="KR"/>
    <hyperlink ref="E34" location="F!A1" display="F"/>
    <hyperlink ref="E40" location="JNJ!A1" display="JNJ"/>
    <hyperlink ref="E4" location="CPN!A1" display="CPN"/>
    <hyperlink ref="E33" location="EW!A1" display="EW"/>
    <hyperlink ref="E16" location="NKE!A1" display="NKE"/>
    <hyperlink ref="E7" location="MOS!A1" display="MOS"/>
    <hyperlink ref="E56" location="VGK!A1" display="VGK"/>
    <hyperlink ref="E12" location="MU!A1" display="MU"/>
    <hyperlink ref="E39" location="IP!A1" display="IP"/>
    <hyperlink ref="E38" location="INTC!A1" display="INTC"/>
    <hyperlink ref="E37" location="HES!A1" display="HES"/>
    <hyperlink ref="E54" location="UNP!A1" display="UNP"/>
    <hyperlink ref="E44" location="NCLH!A1" display="NCLH"/>
    <hyperlink ref="E48" location="SPY!A1" display="SPY"/>
    <hyperlink ref="E49" location="SWKS!A1" display="SWKS"/>
    <hyperlink ref="E29" location="CNI!A1" display="CNI"/>
    <hyperlink ref="E9" location="WFC!A1" display="WFC"/>
    <hyperlink ref="E17" location="AA!A1" display="AA"/>
    <hyperlink ref="E11" location="CF!A1" display="CF"/>
    <hyperlink ref="E13" location="TGT!A1" display="TGT"/>
    <hyperlink ref="E46" location="NWL!A1" display="NWL"/>
    <hyperlink ref="E41" location="KORS!A1" display="KORS"/>
    <hyperlink ref="E20" location="ALL!A1" display="ALL"/>
    <hyperlink ref="E45" location="NSC!A1" display="NSC"/>
    <hyperlink ref="E23" location="AVGO!A1" display="AVGO"/>
    <hyperlink ref="E52" location="UAL!A1" display="UAL"/>
    <hyperlink ref="E27" location="CAH!A1" display="CAH"/>
    <hyperlink ref="E31" location="DAL!A1" display="DAL"/>
    <hyperlink ref="E15" location="TEVA!A1" display="TEVA"/>
    <hyperlink ref="E32" location="DIS!A1" display="DIS"/>
    <hyperlink ref="E10" location="FTR!A1" display="FTR"/>
    <hyperlink ref="E6" location="GILD!A1" display="GILD"/>
    <hyperlink ref="E57" location="WWD!A1" display="WWD"/>
    <hyperlink ref="E8" location="GIS!A1" display="GIS"/>
    <hyperlink ref="E3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3" activePane="bottomLeft" state="frozen"/>
      <selection activeCell="E5" sqref="E5"/>
      <selection pane="bottomLeft" activeCell="M279" sqref="M27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696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696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696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696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4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4" t="s">
        <v>405</v>
      </c>
      <c r="B167" s="685">
        <v>42767</v>
      </c>
      <c r="C167" s="686">
        <v>35</v>
      </c>
      <c r="D167" s="687">
        <v>69.58</v>
      </c>
      <c r="E167" s="687">
        <v>0</v>
      </c>
      <c r="F167" s="687">
        <f>C167*D167+E167</f>
        <v>2435.2999999999997</v>
      </c>
      <c r="G167" s="685">
        <v>42803</v>
      </c>
      <c r="H167" s="688">
        <v>35</v>
      </c>
      <c r="I167" s="687">
        <v>87.78</v>
      </c>
      <c r="J167" s="687">
        <v>7.0000000000000007E-2</v>
      </c>
      <c r="K167" s="687">
        <f>I167*H167-J167</f>
        <v>3072.23</v>
      </c>
      <c r="L167" s="685">
        <v>42829</v>
      </c>
      <c r="M167" s="686">
        <v>14.44</v>
      </c>
      <c r="N167" s="689"/>
      <c r="O167" s="690"/>
    </row>
    <row r="168" spans="1:18" ht="18" customHeight="1" x14ac:dyDescent="0.25">
      <c r="A168" s="691"/>
      <c r="B168" s="686"/>
      <c r="C168" s="691">
        <f>SUM(C167:C167)</f>
        <v>35</v>
      </c>
      <c r="D168" s="692"/>
      <c r="E168" s="692"/>
      <c r="F168" s="692">
        <f>SUM(F167:F167)</f>
        <v>2435.2999999999997</v>
      </c>
      <c r="G168" s="691"/>
      <c r="H168" s="691">
        <f>SUM(H167:H167)</f>
        <v>35</v>
      </c>
      <c r="I168" s="692"/>
      <c r="J168" s="692"/>
      <c r="K168" s="692">
        <f>SUM(K167:K167)</f>
        <v>3072.23</v>
      </c>
      <c r="L168" s="691"/>
      <c r="M168" s="692">
        <f>SUM(M167:M167)</f>
        <v>14.44</v>
      </c>
      <c r="N168" s="682">
        <f>K168-F168</f>
        <v>636.93000000000029</v>
      </c>
      <c r="O168" s="683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696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696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1012.5200000000001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5021.8980000013325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3722.2380000014005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3722.210000000021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-1.999998620703991E-3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SUM(T252:T278)</f>
        <v>1012.5200000000001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29" priority="7">
      <formula>#REF!&gt;0</formula>
    </cfRule>
    <cfRule type="expression" dxfId="132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33"/>
  <sheetViews>
    <sheetView zoomScaleNormal="100" workbookViewId="0">
      <pane ySplit="1" topLeftCell="A419" activePane="bottomLeft" state="frozen"/>
      <selection pane="bottomLeft" activeCell="U436" sqref="U436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3722.210000000021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32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32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8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2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8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2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8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2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8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2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32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8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2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ref="D433" si="820">(C433-C432)/C432</f>
        <v>7.5711087154821137E-3</v>
      </c>
      <c r="E433" s="212">
        <f t="shared" ref="E433" si="821">(C433-$C$2)/$C$2</f>
        <v>0.15582846597286956</v>
      </c>
      <c r="F433" s="222">
        <v>6246.83</v>
      </c>
      <c r="G433" s="173">
        <f t="shared" ref="G433" si="822">(F433-F432)/F432</f>
        <v>7.7954218029816372E-3</v>
      </c>
      <c r="H433" s="206">
        <f t="shared" ref="H433" si="823">(F433-F$2)/F$2</f>
        <v>0.22686529057092919</v>
      </c>
      <c r="I433" s="224">
        <v>353722.21</v>
      </c>
      <c r="J433" s="175">
        <v>350000</v>
      </c>
      <c r="K433" s="175">
        <f t="shared" ref="K433" si="824">I433-I432-J433+J432</f>
        <v>4519.0400000000373</v>
      </c>
      <c r="L433" s="173">
        <f t="shared" ref="L433" si="825">K433/I432</f>
        <v>1.2941005088814163E-2</v>
      </c>
      <c r="M433" s="185">
        <f t="shared" ref="M433" si="826">I433-J433</f>
        <v>3722.210000000021</v>
      </c>
      <c r="N433" s="187">
        <f t="shared" ref="N433" si="827">M433/J433</f>
        <v>1.0634885714285775E-2</v>
      </c>
      <c r="O433" s="185" t="b">
        <f t="shared" ref="O433" si="828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9">I433-Q433</f>
        <v>84175.31</v>
      </c>
      <c r="S433" s="175">
        <v>-33352</v>
      </c>
      <c r="T433" s="175">
        <f t="shared" ref="T433" si="830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31">N433/V433</f>
        <v>3.3283549182337759E-2</v>
      </c>
    </row>
  </sheetData>
  <conditionalFormatting sqref="D3:D433">
    <cfRule type="colorScale" priority="3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33">
    <cfRule type="colorScale" priority="3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33">
    <cfRule type="colorScale" priority="3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33">
    <cfRule type="colorScale" priority="37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34:L1048576">
    <cfRule type="colorScale" priority="59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252.38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252.38</v>
      </c>
      <c r="R4" s="516">
        <v>1.8599999999999998E-2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697" t="s">
        <v>78</v>
      </c>
      <c r="P42" s="697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277.61799999999999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275.0942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272.57040000000001</v>
      </c>
      <c r="Q45" s="2"/>
      <c r="T45" s="427" t="s">
        <v>99</v>
      </c>
      <c r="U45" s="493" t="s">
        <v>617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270.04660000000001</v>
      </c>
      <c r="Q46" s="2"/>
      <c r="T46" s="427" t="s">
        <v>100</v>
      </c>
      <c r="U46" s="493" t="s">
        <v>618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267.52280000000002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264.99900000000002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262.47520000000003</v>
      </c>
      <c r="Q49" s="2"/>
      <c r="T49" s="427" t="s">
        <v>103</v>
      </c>
      <c r="U49" s="493" t="s">
        <v>567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259.95139999999998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257.42759999999998</v>
      </c>
      <c r="Q51" s="2"/>
      <c r="T51" s="427" t="s">
        <v>104</v>
      </c>
      <c r="U51" s="493" t="s">
        <v>619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254.90379999999999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252.38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249.8562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247.33239999999998</v>
      </c>
      <c r="Q55" s="2"/>
      <c r="T55" s="427" t="s">
        <v>107</v>
      </c>
      <c r="U55" s="493" t="s">
        <v>620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244.80859999999998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242.28479999999999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239.761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237.23719999999997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234.71340000000001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232.18960000000001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229.66579999999999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227.142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27" priority="58">
      <formula>F19&gt;0</formula>
    </cfRule>
    <cfRule type="expression" dxfId="132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25" priority="47">
      <formula>H25&gt;0</formula>
    </cfRule>
    <cfRule type="expression" dxfId="1324" priority="48">
      <formula>H25&lt;0</formula>
    </cfRule>
  </conditionalFormatting>
  <conditionalFormatting sqref="M39">
    <cfRule type="expression" dxfId="1323" priority="45">
      <formula>M39&gt;0</formula>
    </cfRule>
    <cfRule type="expression" dxfId="1322" priority="46">
      <formula>M39&lt;0</formula>
    </cfRule>
  </conditionalFormatting>
  <conditionalFormatting sqref="F61:F67">
    <cfRule type="expression" dxfId="1321" priority="43">
      <formula>F61&gt;0</formula>
    </cfRule>
    <cfRule type="expression" dxfId="1320" priority="44">
      <formula>F61&lt;0</formula>
    </cfRule>
  </conditionalFormatting>
  <conditionalFormatting sqref="H61:H67">
    <cfRule type="expression" dxfId="1319" priority="41">
      <formula>H61&gt;0</formula>
    </cfRule>
    <cfRule type="expression" dxfId="1318" priority="42">
      <formula>H61&lt;0</formula>
    </cfRule>
  </conditionalFormatting>
  <conditionalFormatting sqref="F21:F24">
    <cfRule type="expression" dxfId="1317" priority="39">
      <formula>F21&gt;0</formula>
    </cfRule>
    <cfRule type="expression" dxfId="1316" priority="40">
      <formula>F21&lt;0</formula>
    </cfRule>
  </conditionalFormatting>
  <conditionalFormatting sqref="H21:H24">
    <cfRule type="expression" dxfId="1315" priority="37">
      <formula>H21&gt;0</formula>
    </cfRule>
    <cfRule type="expression" dxfId="1314" priority="38">
      <formula>H21&lt;0</formula>
    </cfRule>
  </conditionalFormatting>
  <conditionalFormatting sqref="I25:I28">
    <cfRule type="expression" dxfId="1313" priority="31">
      <formula>I25&gt;0</formula>
    </cfRule>
    <cfRule type="expression" dxfId="1312" priority="32">
      <formula>I25&lt;0</formula>
    </cfRule>
  </conditionalFormatting>
  <conditionalFormatting sqref="I21:I24">
    <cfRule type="expression" dxfId="1311" priority="29">
      <formula>I21&gt;0</formula>
    </cfRule>
    <cfRule type="expression" dxfId="1310" priority="30">
      <formula>I21&lt;0</formula>
    </cfRule>
  </conditionalFormatting>
  <conditionalFormatting sqref="H29">
    <cfRule type="expression" dxfId="1309" priority="27">
      <formula>H29&gt;0</formula>
    </cfRule>
    <cfRule type="expression" dxfId="1308" priority="28">
      <formula>H29&lt;0</formula>
    </cfRule>
  </conditionalFormatting>
  <conditionalFormatting sqref="H30">
    <cfRule type="expression" dxfId="1307" priority="25">
      <formula>H30&gt;0</formula>
    </cfRule>
    <cfRule type="expression" dxfId="1306" priority="26">
      <formula>H30&lt;0</formula>
    </cfRule>
  </conditionalFormatting>
  <conditionalFormatting sqref="H31">
    <cfRule type="expression" dxfId="1305" priority="23">
      <formula>H31&gt;0</formula>
    </cfRule>
    <cfRule type="expression" dxfId="1304" priority="24">
      <formula>H31&lt;0</formula>
    </cfRule>
  </conditionalFormatting>
  <conditionalFormatting sqref="Q7">
    <cfRule type="expression" dxfId="1303" priority="21">
      <formula>Q7&gt;0</formula>
    </cfRule>
    <cfRule type="expression" dxfId="1302" priority="22">
      <formula>Q7&lt;0</formula>
    </cfRule>
  </conditionalFormatting>
  <conditionalFormatting sqref="Q8">
    <cfRule type="expression" dxfId="1301" priority="19">
      <formula>Q8&gt;0</formula>
    </cfRule>
    <cfRule type="expression" dxfId="1300" priority="20">
      <formula>Q8&lt;0</formula>
    </cfRule>
  </conditionalFormatting>
  <conditionalFormatting sqref="F73:F82">
    <cfRule type="expression" dxfId="1299" priority="17">
      <formula>F73&gt;0</formula>
    </cfRule>
    <cfRule type="expression" dxfId="1298" priority="18">
      <formula>F73&lt;0</formula>
    </cfRule>
  </conditionalFormatting>
  <conditionalFormatting sqref="H73:H76">
    <cfRule type="expression" dxfId="1297" priority="15">
      <formula>H73&gt;0</formula>
    </cfRule>
    <cfRule type="expression" dxfId="1296" priority="16">
      <formula>H73&lt;0</formula>
    </cfRule>
  </conditionalFormatting>
  <conditionalFormatting sqref="F69:F72">
    <cfRule type="expression" dxfId="1295" priority="13">
      <formula>F69&gt;0</formula>
    </cfRule>
    <cfRule type="expression" dxfId="1294" priority="14">
      <formula>F69&lt;0</formula>
    </cfRule>
  </conditionalFormatting>
  <conditionalFormatting sqref="H69:H72">
    <cfRule type="expression" dxfId="1293" priority="11">
      <formula>H69&gt;0</formula>
    </cfRule>
    <cfRule type="expression" dxfId="1292" priority="12">
      <formula>H69&lt;0</formula>
    </cfRule>
  </conditionalFormatting>
  <conditionalFormatting sqref="I73:I76">
    <cfRule type="expression" dxfId="1291" priority="9">
      <formula>I73&gt;0</formula>
    </cfRule>
    <cfRule type="expression" dxfId="1290" priority="10">
      <formula>I73&lt;0</formula>
    </cfRule>
  </conditionalFormatting>
  <conditionalFormatting sqref="I69:I72">
    <cfRule type="expression" dxfId="1289" priority="7">
      <formula>I69&gt;0</formula>
    </cfRule>
    <cfRule type="expression" dxfId="1288" priority="8">
      <formula>I69&lt;0</formula>
    </cfRule>
  </conditionalFormatting>
  <conditionalFormatting sqref="H77">
    <cfRule type="expression" dxfId="1287" priority="5">
      <formula>H77&gt;0</formula>
    </cfRule>
    <cfRule type="expression" dxfId="1286" priority="6">
      <formula>H77&lt;0</formula>
    </cfRule>
  </conditionalFormatting>
  <conditionalFormatting sqref="H78">
    <cfRule type="expression" dxfId="1285" priority="3">
      <formula>H78&gt;0</formula>
    </cfRule>
    <cfRule type="expression" dxfId="1284" priority="4">
      <formula>H78&lt;0</formula>
    </cfRule>
  </conditionalFormatting>
  <conditionalFormatting sqref="H79">
    <cfRule type="expression" dxfId="1283" priority="1">
      <formula>H79&gt;0</formula>
    </cfRule>
    <cfRule type="expression" dxfId="128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39.56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39.56</v>
      </c>
      <c r="R4" s="516">
        <v>1.49E-2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697" t="s">
        <v>78</v>
      </c>
      <c r="P42" s="697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43.516000000000005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43.120400000000004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42.724800000000002</v>
      </c>
      <c r="Q45" s="2"/>
      <c r="T45" s="107" t="s">
        <v>99</v>
      </c>
      <c r="U45" s="364" t="s">
        <v>621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42.329200000000007</v>
      </c>
      <c r="Q46" s="2"/>
      <c r="T46" s="107" t="s">
        <v>100</v>
      </c>
      <c r="U46" s="364" t="s">
        <v>622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41.933600000000006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41.538000000000004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41.142400000000002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40.7468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40.351200000000006</v>
      </c>
      <c r="Q51" s="2"/>
      <c r="T51" s="107" t="s">
        <v>104</v>
      </c>
      <c r="U51" s="364" t="s">
        <v>623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39.955600000000004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39.56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39.164400000000001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38.768799999999999</v>
      </c>
      <c r="Q55" s="2"/>
      <c r="T55" s="107" t="s">
        <v>107</v>
      </c>
      <c r="U55" s="364" t="s">
        <v>624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38.373200000000004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37.977600000000002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37.582000000000001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37.186399999999999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36.790800000000004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36.395200000000003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35.999600000000001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35.604000000000006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81" priority="25">
      <formula>N19&gt;0</formula>
    </cfRule>
    <cfRule type="expression" dxfId="128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79" priority="19">
      <formula>F21&gt;0</formula>
    </cfRule>
    <cfRule type="expression" dxfId="1278" priority="20">
      <formula>F21&lt;0</formula>
    </cfRule>
  </conditionalFormatting>
  <conditionalFormatting sqref="H21:H31">
    <cfRule type="expression" dxfId="1277" priority="17">
      <formula>H21&gt;0</formula>
    </cfRule>
    <cfRule type="expression" dxfId="1276" priority="18">
      <formula>H21&lt;0</formula>
    </cfRule>
  </conditionalFormatting>
  <conditionalFormatting sqref="I21:I31">
    <cfRule type="expression" dxfId="1275" priority="15">
      <formula>I21&gt;0</formula>
    </cfRule>
    <cfRule type="expression" dxfId="1274" priority="16">
      <formula>I21&lt;0</formula>
    </cfRule>
  </conditionalFormatting>
  <conditionalFormatting sqref="Q8">
    <cfRule type="expression" dxfId="1273" priority="7">
      <formula>Q8&gt;0</formula>
    </cfRule>
    <cfRule type="expression" dxfId="1272" priority="8">
      <formula>Q8&lt;0</formula>
    </cfRule>
  </conditionalFormatting>
  <conditionalFormatting sqref="Q7">
    <cfRule type="expression" dxfId="1271" priority="9">
      <formula>Q7&gt;0</formula>
    </cfRule>
    <cfRule type="expression" dxfId="1270" priority="10">
      <formula>Q7&lt;0</formula>
    </cfRule>
  </conditionalFormatting>
  <conditionalFormatting sqref="F56:F66">
    <cfRule type="expression" dxfId="1269" priority="5">
      <formula>F56&gt;0</formula>
    </cfRule>
    <cfRule type="expression" dxfId="1268" priority="6">
      <formula>F56&lt;0</formula>
    </cfRule>
  </conditionalFormatting>
  <conditionalFormatting sqref="H56:H66">
    <cfRule type="expression" dxfId="1267" priority="3">
      <formula>H56&gt;0</formula>
    </cfRule>
    <cfRule type="expression" dxfId="1266" priority="4">
      <formula>H56&lt;0</formula>
    </cfRule>
  </conditionalFormatting>
  <conditionalFormatting sqref="I56:I66">
    <cfRule type="expression" dxfId="1265" priority="1">
      <formula>I56&gt;0</formula>
    </cfRule>
    <cfRule type="expression" dxfId="126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400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65.906725000000009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52.41</v>
      </c>
      <c r="R4" s="516">
        <v>8.9599999999999999E-2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20964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26362.690000000002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-4722.7400000000052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-5398.690000000006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-0.20478524763595846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497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497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97">
        <v>42879</v>
      </c>
      <c r="C15" s="4">
        <v>50</v>
      </c>
      <c r="D15" s="3">
        <v>53.3</v>
      </c>
      <c r="E15" s="3">
        <v>0</v>
      </c>
      <c r="F15" s="3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SUM(C2:C15)</f>
        <v>555</v>
      </c>
      <c r="D18" s="14"/>
      <c r="E18" s="14"/>
      <c r="F18" s="18">
        <f>SUM(F2:F15)</f>
        <v>37657.950000000004</v>
      </c>
      <c r="G18" s="14"/>
      <c r="H18" s="14">
        <f t="shared" ref="H18:M18" si="3">SUM(H2:H14)</f>
        <v>155</v>
      </c>
      <c r="I18" s="14"/>
      <c r="J18" s="14"/>
      <c r="K18" s="14">
        <f t="shared" si="3"/>
        <v>11220.259999999998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697" t="s">
        <v>78</v>
      </c>
      <c r="P42" s="697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57.651000000000003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:F45" si="39">C44*(E44-D44)</f>
        <v>-2171.6799999999994</v>
      </c>
      <c r="G44" s="40">
        <f t="shared" ref="G44:G45" si="40">D44*C44</f>
        <v>23759.68</v>
      </c>
      <c r="H44" s="229">
        <f t="shared" ref="H44:H45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57.126899999999999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56.602800000000002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42"/>
        <v>56.078699999999998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55.554600000000001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55.030499999999996</v>
      </c>
      <c r="Q48" s="2"/>
      <c r="T48" s="107" t="s">
        <v>104</v>
      </c>
      <c r="U48" s="364" t="s">
        <v>625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54.506399999999999</v>
      </c>
      <c r="Q49" s="2"/>
      <c r="T49" s="107" t="s">
        <v>105</v>
      </c>
      <c r="U49" s="364" t="s">
        <v>626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53.982299999999995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53.458199999999998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52.934099999999994</v>
      </c>
      <c r="Q52" s="2"/>
      <c r="T52" s="107" t="s">
        <v>107</v>
      </c>
      <c r="U52" s="364" t="s">
        <v>627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52.41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51.885899999999999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51.361799999999995</v>
      </c>
      <c r="Q55" s="2"/>
      <c r="T55" s="107" t="s">
        <v>108</v>
      </c>
      <c r="U55" s="364" t="s">
        <v>585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50.837699999999998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6">C57*(E57-D57)</f>
        <v>15.999999999999943</v>
      </c>
      <c r="G57" s="378">
        <f t="shared" ref="G57:G65" si="47">D57*C57</f>
        <v>1924</v>
      </c>
      <c r="H57" s="379">
        <f t="shared" ref="H57:H65" si="48">(E57-D57)/D57</f>
        <v>8.316008316008287E-3</v>
      </c>
      <c r="I57" s="379"/>
      <c r="O57" s="82">
        <v>0.96</v>
      </c>
      <c r="P57" s="82">
        <f t="shared" si="42"/>
        <v>50.313599999999994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6"/>
        <v>50.600000000000023</v>
      </c>
      <c r="G58" s="378">
        <f t="shared" si="47"/>
        <v>1924</v>
      </c>
      <c r="H58" s="379">
        <f t="shared" si="48"/>
        <v>2.6299376299376311E-2</v>
      </c>
      <c r="I58" s="379"/>
      <c r="O58" s="82">
        <v>0.95</v>
      </c>
      <c r="P58" s="82">
        <f t="shared" si="42"/>
        <v>49.789499999999997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6"/>
        <v>-176.20199999999988</v>
      </c>
      <c r="G59" s="378">
        <f t="shared" si="47"/>
        <v>4063.752</v>
      </c>
      <c r="H59" s="379">
        <f t="shared" si="48"/>
        <v>-4.3359437288495929E-2</v>
      </c>
      <c r="I59" s="380"/>
      <c r="O59" s="82">
        <v>0.94</v>
      </c>
      <c r="P59" s="82">
        <f t="shared" si="42"/>
        <v>49.265399999999993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6"/>
        <v>-51.239999999999952</v>
      </c>
      <c r="G60" s="378">
        <f t="shared" si="47"/>
        <v>2283.9899999999998</v>
      </c>
      <c r="H60" s="379">
        <f t="shared" si="48"/>
        <v>-2.2434423968581276E-2</v>
      </c>
      <c r="I60" s="379"/>
      <c r="O60" s="82">
        <v>0.93</v>
      </c>
      <c r="P60" s="82">
        <f t="shared" si="42"/>
        <v>48.741300000000003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6"/>
        <v>-146.2399999999999</v>
      </c>
      <c r="G61" s="378">
        <f t="shared" si="47"/>
        <v>2283.9899999999998</v>
      </c>
      <c r="H61" s="379">
        <f t="shared" si="48"/>
        <v>-6.402830134983073E-2</v>
      </c>
      <c r="I61" s="379"/>
      <c r="O61" s="82">
        <v>0.92</v>
      </c>
      <c r="P61" s="82">
        <f t="shared" si="42"/>
        <v>48.217199999999998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6"/>
        <v>-159.23999999999978</v>
      </c>
      <c r="G62" s="378">
        <f t="shared" si="47"/>
        <v>4352.74</v>
      </c>
      <c r="H62" s="379">
        <f t="shared" si="48"/>
        <v>-3.6583852929419118E-2</v>
      </c>
      <c r="I62" s="379"/>
      <c r="O62" s="82">
        <v>0.91</v>
      </c>
      <c r="P62" s="82">
        <f t="shared" si="42"/>
        <v>47.693100000000001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6"/>
        <v>-37.790000000000035</v>
      </c>
      <c r="G63" s="378">
        <f t="shared" si="47"/>
        <v>2188.04</v>
      </c>
      <c r="H63" s="379">
        <f t="shared" si="48"/>
        <v>-1.7271165060967823E-2</v>
      </c>
      <c r="I63" s="379"/>
      <c r="O63" s="82">
        <v>0.9</v>
      </c>
      <c r="P63" s="82">
        <f t="shared" si="42"/>
        <v>47.168999999999997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6"/>
        <v>-137.54000000000025</v>
      </c>
      <c r="G64" s="378">
        <f t="shared" si="47"/>
        <v>2188.04</v>
      </c>
      <c r="H64" s="379">
        <f t="shared" si="48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6"/>
        <v>-167.54249999999934</v>
      </c>
      <c r="G65" s="378">
        <f t="shared" si="47"/>
        <v>6112.0424999999996</v>
      </c>
      <c r="H65" s="379">
        <f t="shared" si="48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49">C66*(E66-D66)</f>
        <v>-58.042499999999819</v>
      </c>
      <c r="G66" s="378">
        <f t="shared" ref="G66:G78" si="50">D66*C66</f>
        <v>6112.0424999999996</v>
      </c>
      <c r="H66" s="379">
        <f t="shared" ref="H66:H78" si="51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49"/>
        <v>195.77249999999998</v>
      </c>
      <c r="G67" s="378">
        <f t="shared" si="50"/>
        <v>4432.4775</v>
      </c>
      <c r="H67" s="379">
        <f t="shared" si="51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49"/>
        <v>38.472500000000025</v>
      </c>
      <c r="G68" s="378">
        <f t="shared" si="50"/>
        <v>4432.4775</v>
      </c>
      <c r="H68" s="379">
        <f t="shared" si="51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49"/>
        <v>466.37249999999932</v>
      </c>
      <c r="G69" s="378">
        <f t="shared" si="50"/>
        <v>4432.4775</v>
      </c>
      <c r="H69" s="379">
        <f t="shared" si="51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49"/>
        <v>536.22249999999985</v>
      </c>
      <c r="G70" s="378">
        <f t="shared" si="50"/>
        <v>4432.4775</v>
      </c>
      <c r="H70" s="379">
        <f t="shared" si="51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49"/>
        <v>640.51000000000045</v>
      </c>
      <c r="G71" s="378">
        <f t="shared" si="50"/>
        <v>3972.49</v>
      </c>
      <c r="H71" s="379">
        <f t="shared" si="51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49"/>
        <v>547.01000000000022</v>
      </c>
      <c r="G72" s="378">
        <f t="shared" si="50"/>
        <v>3972.49</v>
      </c>
      <c r="H72" s="379">
        <f t="shared" si="51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49"/>
        <v>505.01000000000005</v>
      </c>
      <c r="G73" s="378">
        <f t="shared" si="50"/>
        <v>3972.49</v>
      </c>
      <c r="H73" s="379">
        <f t="shared" si="51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49"/>
        <v>400.50999999999988</v>
      </c>
      <c r="G74" s="378">
        <f t="shared" si="50"/>
        <v>3972.49</v>
      </c>
      <c r="H74" s="379">
        <f t="shared" si="51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49"/>
        <v>504.01000000000022</v>
      </c>
      <c r="G75" s="378">
        <f t="shared" si="50"/>
        <v>3972.49</v>
      </c>
      <c r="H75" s="379">
        <f t="shared" si="51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49"/>
        <v>470.51000000000016</v>
      </c>
      <c r="G76" s="378">
        <f t="shared" si="50"/>
        <v>3972.49</v>
      </c>
      <c r="H76" s="379">
        <f t="shared" si="51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49"/>
        <v>500.50999999999988</v>
      </c>
      <c r="G77" s="378">
        <f t="shared" si="50"/>
        <v>3972.49</v>
      </c>
      <c r="H77" s="379">
        <f t="shared" si="51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49"/>
        <v>413.46899999999977</v>
      </c>
      <c r="G78" s="378">
        <f t="shared" si="50"/>
        <v>2218.1310000000003</v>
      </c>
      <c r="H78" s="379">
        <f t="shared" si="51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52">C82*(E82-D82)</f>
        <v>42.500000000000071</v>
      </c>
      <c r="G82" s="378">
        <f t="shared" ref="G82:G98" si="53">D82*C82</f>
        <v>1973.75</v>
      </c>
      <c r="H82" s="379">
        <f t="shared" ref="H82:H98" si="54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52"/>
        <v>30.750000000000099</v>
      </c>
      <c r="G83" s="378">
        <f t="shared" si="53"/>
        <v>1973.75</v>
      </c>
      <c r="H83" s="379">
        <f t="shared" si="54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52"/>
        <v>75.750000000000028</v>
      </c>
      <c r="G84" s="378">
        <f t="shared" si="53"/>
        <v>1973.75</v>
      </c>
      <c r="H84" s="379">
        <f t="shared" si="54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52"/>
        <v>53.749999999999787</v>
      </c>
      <c r="G85" s="378">
        <f t="shared" si="53"/>
        <v>1973.75</v>
      </c>
      <c r="H85" s="379">
        <f t="shared" si="54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52"/>
        <v>88.250000000000028</v>
      </c>
      <c r="G86" s="378">
        <f t="shared" si="53"/>
        <v>1973.75</v>
      </c>
      <c r="H86" s="379">
        <f t="shared" si="54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52"/>
        <v>70.499999999999829</v>
      </c>
      <c r="G87" s="378">
        <f t="shared" si="53"/>
        <v>1973.75</v>
      </c>
      <c r="H87" s="379">
        <f t="shared" si="54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52"/>
        <v>-51.249999999999929</v>
      </c>
      <c r="G88" s="378">
        <f t="shared" si="53"/>
        <v>1973.75</v>
      </c>
      <c r="H88" s="379">
        <f t="shared" si="54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52"/>
        <v>-29.500000000000171</v>
      </c>
      <c r="G89" s="378">
        <f t="shared" si="53"/>
        <v>1973.75</v>
      </c>
      <c r="H89" s="379">
        <f t="shared" si="54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52"/>
        <v>-85.750000000000171</v>
      </c>
      <c r="G90" s="378">
        <f t="shared" si="53"/>
        <v>1973.75</v>
      </c>
      <c r="H90" s="379">
        <f t="shared" si="54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52"/>
        <v>-42.000000000000171</v>
      </c>
      <c r="G91" s="378">
        <f t="shared" si="53"/>
        <v>1973.75</v>
      </c>
      <c r="H91" s="379">
        <f t="shared" si="54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52"/>
        <v>0.49999999999990052</v>
      </c>
      <c r="G92" s="378">
        <f t="shared" si="53"/>
        <v>1973.75</v>
      </c>
      <c r="H92" s="379">
        <f t="shared" si="54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52"/>
        <v>-4.9500000000001876</v>
      </c>
      <c r="G93" s="378">
        <f t="shared" si="53"/>
        <v>4202</v>
      </c>
      <c r="H93" s="379">
        <f t="shared" si="54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52"/>
        <v>-102.99849999999971</v>
      </c>
      <c r="G94" s="378">
        <f t="shared" si="53"/>
        <v>4202.1484999999993</v>
      </c>
      <c r="H94" s="379">
        <f t="shared" si="54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52"/>
        <v>-37.548499999999834</v>
      </c>
      <c r="G95" s="378">
        <f t="shared" si="53"/>
        <v>4202.1484999999993</v>
      </c>
      <c r="H95" s="379">
        <f t="shared" si="54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52"/>
        <v>77.951499999999854</v>
      </c>
      <c r="G96" s="378">
        <f t="shared" si="53"/>
        <v>4202.1484999999993</v>
      </c>
      <c r="H96" s="379">
        <f t="shared" si="54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52"/>
        <v>214.71000000000032</v>
      </c>
      <c r="G97" s="378">
        <f t="shared" si="53"/>
        <v>2228.19</v>
      </c>
      <c r="H97" s="379">
        <f t="shared" si="54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52"/>
        <v>173.90999999999991</v>
      </c>
      <c r="G98" s="378">
        <f t="shared" si="53"/>
        <v>2228.19</v>
      </c>
      <c r="H98" s="379">
        <f t="shared" si="54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5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6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5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6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5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6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5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6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5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6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5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6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63" priority="35">
      <formula>N19&gt;0</formula>
    </cfRule>
    <cfRule type="expression" dxfId="126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61" priority="29">
      <formula>F61&gt;0</formula>
    </cfRule>
    <cfRule type="expression" dxfId="1260" priority="30">
      <formula>F61&lt;0</formula>
    </cfRule>
  </conditionalFormatting>
  <conditionalFormatting sqref="H61:H79 H83:H100">
    <cfRule type="expression" dxfId="1259" priority="27">
      <formula>H61&gt;0</formula>
    </cfRule>
    <cfRule type="expression" dxfId="1258" priority="28">
      <formula>H61&lt;0</formula>
    </cfRule>
  </conditionalFormatting>
  <conditionalFormatting sqref="I57:I79 I82:I100">
    <cfRule type="expression" dxfId="1257" priority="25">
      <formula>I57&gt;0</formula>
    </cfRule>
    <cfRule type="expression" dxfId="1256" priority="26">
      <formula>I57&lt;0</formula>
    </cfRule>
  </conditionalFormatting>
  <conditionalFormatting sqref="Q7">
    <cfRule type="expression" dxfId="1255" priority="23">
      <formula>Q7&gt;0</formula>
    </cfRule>
    <cfRule type="expression" dxfId="1254" priority="24">
      <formula>Q7&lt;0</formula>
    </cfRule>
  </conditionalFormatting>
  <conditionalFormatting sqref="Q8">
    <cfRule type="expression" dxfId="1253" priority="21">
      <formula>Q8&gt;0</formula>
    </cfRule>
    <cfRule type="expression" dxfId="1252" priority="22">
      <formula>Q8&lt;0</formula>
    </cfRule>
  </conditionalFormatting>
  <conditionalFormatting sqref="F57:F60">
    <cfRule type="expression" dxfId="1251" priority="19">
      <formula>F57&gt;0</formula>
    </cfRule>
    <cfRule type="expression" dxfId="1250" priority="20">
      <formula>F57&lt;0</formula>
    </cfRule>
  </conditionalFormatting>
  <conditionalFormatting sqref="H57:H60">
    <cfRule type="expression" dxfId="1249" priority="17">
      <formula>H57&gt;0</formula>
    </cfRule>
    <cfRule type="expression" dxfId="1248" priority="18">
      <formula>H57&lt;0</formula>
    </cfRule>
  </conditionalFormatting>
  <conditionalFormatting sqref="F82:F96">
    <cfRule type="expression" dxfId="1247" priority="11">
      <formula>F82&gt;0</formula>
    </cfRule>
    <cfRule type="expression" dxfId="1246" priority="12">
      <formula>F82&lt;0</formula>
    </cfRule>
  </conditionalFormatting>
  <conditionalFormatting sqref="H82:H96">
    <cfRule type="expression" dxfId="1245" priority="9">
      <formula>H82&gt;0</formula>
    </cfRule>
    <cfRule type="expression" dxfId="1244" priority="10">
      <formula>H82&lt;0</formula>
    </cfRule>
  </conditionalFormatting>
  <conditionalFormatting sqref="F25:F45">
    <cfRule type="expression" dxfId="1243" priority="7">
      <formula>F25&gt;0</formula>
    </cfRule>
    <cfRule type="expression" dxfId="1242" priority="8">
      <formula>F25&lt;0</formula>
    </cfRule>
  </conditionalFormatting>
  <conditionalFormatting sqref="H25:H45">
    <cfRule type="expression" dxfId="1241" priority="5">
      <formula>H25&gt;0</formula>
    </cfRule>
    <cfRule type="expression" dxfId="1240" priority="6">
      <formula>H25&lt;0</formula>
    </cfRule>
  </conditionalFormatting>
  <conditionalFormatting sqref="J34:J52">
    <cfRule type="expression" dxfId="1239" priority="3">
      <formula>J34&gt;0</formula>
    </cfRule>
    <cfRule type="expression" dxfId="1238" priority="4">
      <formula>J34&lt;0</formula>
    </cfRule>
  </conditionalFormatting>
  <conditionalFormatting sqref="J39">
    <cfRule type="expression" dxfId="1237" priority="1">
      <formula>J39&gt;0</formula>
    </cfRule>
    <cfRule type="expression" dxfId="123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153.18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153.18</v>
      </c>
      <c r="R4" s="516">
        <v>2.7000000000000001E-3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697" t="s">
        <v>78</v>
      </c>
      <c r="P42" s="697"/>
      <c r="T42" s="107" t="s">
        <v>99</v>
      </c>
      <c r="U42" s="364" t="s">
        <v>628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168.49800000000002</v>
      </c>
      <c r="Q43" s="2"/>
      <c r="T43" s="107" t="s">
        <v>100</v>
      </c>
      <c r="U43" s="364" t="s">
        <v>629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166.96620000000001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165.43440000000001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163.90260000000001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162.3708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160.83900000000003</v>
      </c>
      <c r="Q48" s="2"/>
      <c r="T48" s="107" t="s">
        <v>104</v>
      </c>
      <c r="U48" s="364" t="s">
        <v>630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159.30720000000002</v>
      </c>
      <c r="Q49" s="2"/>
      <c r="T49" s="107" t="s">
        <v>105</v>
      </c>
      <c r="U49" s="364" t="s">
        <v>631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157.77540000000002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156.24360000000001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154.71180000000001</v>
      </c>
      <c r="Q52" s="2"/>
      <c r="T52" s="107" t="s">
        <v>107</v>
      </c>
      <c r="U52" s="364" t="s">
        <v>632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153.18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151.6482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150.1164</v>
      </c>
      <c r="Q55" s="2"/>
      <c r="T55" s="107" t="s">
        <v>108</v>
      </c>
      <c r="U55" s="364" t="s">
        <v>577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148.58459999999999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147.05279999999999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145.52099999999999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143.98920000000001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142.45740000000001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140.9256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139.3938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137.86200000000002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35" priority="35">
      <formula>N19&gt;0</formula>
    </cfRule>
    <cfRule type="expression" dxfId="123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33" priority="21">
      <formula>F25&gt;0</formula>
    </cfRule>
    <cfRule type="expression" dxfId="1232" priority="22">
      <formula>F25&lt;0</formula>
    </cfRule>
  </conditionalFormatting>
  <conditionalFormatting sqref="H25:H47">
    <cfRule type="expression" dxfId="1231" priority="19">
      <formula>H25&gt;0</formula>
    </cfRule>
    <cfRule type="expression" dxfId="1230" priority="20">
      <formula>H25&lt;0</formula>
    </cfRule>
  </conditionalFormatting>
  <conditionalFormatting sqref="I25:I27">
    <cfRule type="expression" dxfId="1229" priority="15">
      <formula>I25&gt;0</formula>
    </cfRule>
    <cfRule type="expression" dxfId="1228" priority="16">
      <formula>I25&lt;0</formula>
    </cfRule>
  </conditionalFormatting>
  <conditionalFormatting sqref="Q7">
    <cfRule type="expression" dxfId="1227" priority="5">
      <formula>Q7&gt;0</formula>
    </cfRule>
    <cfRule type="expression" dxfId="1226" priority="6">
      <formula>Q7&lt;0</formula>
    </cfRule>
  </conditionalFormatting>
  <conditionalFormatting sqref="Q8">
    <cfRule type="expression" dxfId="1225" priority="3">
      <formula>Q8&gt;0</formula>
    </cfRule>
    <cfRule type="expression" dxfId="122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78.28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78.28</v>
      </c>
      <c r="R4" s="498">
        <v>1.7399999999999999E-2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86.108000000000004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85.325200000000009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84.542400000000001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83.759600000000006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82.976800000000011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82.194000000000003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81.411200000000008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80.628399999999999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79.845600000000005</v>
      </c>
      <c r="Q49" s="2"/>
      <c r="T49" s="92" t="s">
        <v>103</v>
      </c>
      <c r="U49" s="129" t="s">
        <v>557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79.062799999999996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78.28</v>
      </c>
      <c r="Q51" s="2"/>
      <c r="T51" s="92" t="s">
        <v>104</v>
      </c>
      <c r="U51" s="129" t="s">
        <v>633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77.497200000000007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76.714399999999998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75.931600000000003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75.148799999999994</v>
      </c>
      <c r="T55" s="92" t="s">
        <v>107</v>
      </c>
      <c r="U55" s="129" t="s">
        <v>634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74.366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73.583199999999991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72.80040000000001</v>
      </c>
      <c r="T58" s="92" t="s">
        <v>108</v>
      </c>
      <c r="U58" s="129" t="s">
        <v>586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72.017600000000002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71.234800000000007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70.451999999999998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23" priority="9">
      <formula>F36&gt;0</formula>
    </cfRule>
    <cfRule type="expression" dxfId="1222" priority="10">
      <formula>F36&lt;0</formula>
    </cfRule>
  </conditionalFormatting>
  <conditionalFormatting sqref="F25:F35">
    <cfRule type="expression" dxfId="1221" priority="7">
      <formula>F25&gt;0</formula>
    </cfRule>
    <cfRule type="expression" dxfId="1220" priority="8">
      <formula>F25&lt;0</formula>
    </cfRule>
  </conditionalFormatting>
  <conditionalFormatting sqref="H25:H35">
    <cfRule type="expression" dxfId="1219" priority="5">
      <formula>H25&gt;0</formula>
    </cfRule>
    <cfRule type="expression" dxfId="1218" priority="6">
      <formula>H25&lt;0</formula>
    </cfRule>
  </conditionalFormatting>
  <conditionalFormatting sqref="Q7">
    <cfRule type="expression" dxfId="1217" priority="3">
      <formula>Q7&gt;0</formula>
    </cfRule>
    <cfRule type="expression" dxfId="1216" priority="4">
      <formula>Q7&lt;0</formula>
    </cfRule>
  </conditionalFormatting>
  <conditionalFormatting sqref="Q8">
    <cfRule type="expression" dxfId="1215" priority="1">
      <formula>Q8&gt;0</formula>
    </cfRule>
    <cfRule type="expression" dxfId="121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78.19</v>
      </c>
      <c r="R4" s="521">
        <v>6.54E-2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497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7819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1010.6399999999994</v>
      </c>
      <c r="R7" s="30">
        <v>42902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852.34000000000015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0.1223455716225566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50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753</v>
      </c>
      <c r="L24" s="227" t="s">
        <v>760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4" si="11">C28*(E28-D28)</f>
        <v>-167.00000000000017</v>
      </c>
      <c r="G28" s="40">
        <f t="shared" ref="G28:G34" si="12">D28*C28</f>
        <v>7168.0000000000009</v>
      </c>
      <c r="H28" s="229">
        <f t="shared" ref="H28:H34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4" si="16">(G33-J33)/C33</f>
        <v>65.288800000000009</v>
      </c>
      <c r="L33" s="160">
        <f t="shared" ref="L33:L34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697" t="s">
        <v>78</v>
      </c>
      <c r="P40" s="697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86.009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85.227100000000007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84.4452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83.663300000000007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82.881399999999999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82.099500000000006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81.317599999999999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80.535700000000006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79.753799999999998</v>
      </c>
      <c r="Q49" s="2"/>
      <c r="T49" s="92" t="s">
        <v>121</v>
      </c>
      <c r="U49" s="129" t="s">
        <v>548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78.971900000000005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78.19</v>
      </c>
      <c r="Q51" s="2"/>
      <c r="T51" s="92" t="s">
        <v>104</v>
      </c>
      <c r="U51" s="129" t="s">
        <v>635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77.40809999999999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76.626199999999997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75.84429999999999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75.062399999999997</v>
      </c>
      <c r="T55" s="92" t="s">
        <v>107</v>
      </c>
      <c r="U55" s="129" t="s">
        <v>636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74.280499999999989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73.498599999999996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72.716700000000003</v>
      </c>
      <c r="T58" s="92" t="s">
        <v>108</v>
      </c>
      <c r="U58" s="129" t="s">
        <v>587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71.934799999999996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71.152900000000002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70.370999999999995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13" priority="21">
      <formula>F47&gt;0</formula>
    </cfRule>
    <cfRule type="expression" dxfId="1212" priority="22">
      <formula>F47&lt;0</formula>
    </cfRule>
  </conditionalFormatting>
  <conditionalFormatting sqref="Q7">
    <cfRule type="expression" dxfId="1211" priority="19">
      <formula>Q7&gt;0</formula>
    </cfRule>
    <cfRule type="expression" dxfId="1210" priority="20">
      <formula>Q7&lt;0</formula>
    </cfRule>
  </conditionalFormatting>
  <conditionalFormatting sqref="Q8">
    <cfRule type="expression" dxfId="1209" priority="17">
      <formula>Q8&gt;0</formula>
    </cfRule>
    <cfRule type="expression" dxfId="1208" priority="18">
      <formula>Q8&lt;0</formula>
    </cfRule>
  </conditionalFormatting>
  <conditionalFormatting sqref="F25:F46">
    <cfRule type="expression" dxfId="1207" priority="15">
      <formula>F25&gt;0</formula>
    </cfRule>
    <cfRule type="expression" dxfId="1206" priority="16">
      <formula>F25&lt;0</formula>
    </cfRule>
  </conditionalFormatting>
  <conditionalFormatting sqref="H25:H46">
    <cfRule type="expression" dxfId="1205" priority="13">
      <formula>H25&gt;0</formula>
    </cfRule>
    <cfRule type="expression" dxfId="1204" priority="14">
      <formula>H25&lt;0</formula>
    </cfRule>
  </conditionalFormatting>
  <conditionalFormatting sqref="F89:F110">
    <cfRule type="expression" dxfId="1203" priority="11">
      <formula>F89&gt;0</formula>
    </cfRule>
    <cfRule type="expression" dxfId="1202" priority="12">
      <formula>F89&lt;0</formula>
    </cfRule>
  </conditionalFormatting>
  <conditionalFormatting sqref="H89:H110">
    <cfRule type="expression" dxfId="1201" priority="9">
      <formula>H89&gt;0</formula>
    </cfRule>
    <cfRule type="expression" dxfId="1200" priority="10">
      <formula>H89&lt;0</formula>
    </cfRule>
  </conditionalFormatting>
  <conditionalFormatting sqref="Q10">
    <cfRule type="expression" dxfId="1199" priority="7">
      <formula>Q10&gt;0</formula>
    </cfRule>
    <cfRule type="expression" dxfId="1198" priority="8">
      <formula>Q10&lt;0</formula>
    </cfRule>
  </conditionalFormatting>
  <conditionalFormatting sqref="J25:J38">
    <cfRule type="expression" dxfId="1197" priority="5">
      <formula>J25&gt;0</formula>
    </cfRule>
    <cfRule type="expression" dxfId="1196" priority="6">
      <formula>J25&lt;0</formula>
    </cfRule>
  </conditionalFormatting>
  <conditionalFormatting sqref="K25:K38">
    <cfRule type="expression" dxfId="1195" priority="3">
      <formula>K25&gt;0</formula>
    </cfRule>
    <cfRule type="expression" dxfId="1194" priority="4">
      <formula>K25&lt;0</formula>
    </cfRule>
  </conditionalFormatting>
  <conditionalFormatting sqref="L25:L38">
    <cfRule type="expression" dxfId="1193" priority="1">
      <formula>L25&gt;0</formula>
    </cfRule>
    <cfRule type="expression" dxfId="119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35.090000000000003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35.090000000000003</v>
      </c>
      <c r="R4" s="498">
        <v>1.6500000000000001E-2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38.599000000000004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38.248100000000008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37.897200000000005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37.546300000000009</v>
      </c>
      <c r="R43" s="82"/>
      <c r="T43" s="86" t="s">
        <v>100</v>
      </c>
      <c r="U43" s="129" t="s">
        <v>572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37.195400000000006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36.844500000000004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36.493600000000008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36.142700000000005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35.791800000000002</v>
      </c>
      <c r="R48" s="82"/>
      <c r="T48" s="86" t="s">
        <v>104</v>
      </c>
      <c r="U48" s="129" t="s">
        <v>637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35.440900000000006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35.090000000000003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34.739100000000001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34.388200000000005</v>
      </c>
      <c r="R52" s="82"/>
      <c r="T52" s="86" t="s">
        <v>107</v>
      </c>
      <c r="U52" s="129" t="s">
        <v>638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34.037300000000002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33.686399999999999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33.335500000000003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32.9846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32.633700000000005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32.282800000000002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31.931900000000006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31.581000000000003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91" priority="31">
      <formula>F29&gt;0</formula>
    </cfRule>
    <cfRule type="expression" dxfId="1190" priority="32">
      <formula>F29&lt;0</formula>
    </cfRule>
  </conditionalFormatting>
  <conditionalFormatting sqref="F29 F31:F35">
    <cfRule type="expression" dxfId="1189" priority="33">
      <formula>F29&gt;0</formula>
    </cfRule>
    <cfRule type="expression" dxfId="1188" priority="34">
      <formula>F29&lt;0</formula>
    </cfRule>
  </conditionalFormatting>
  <conditionalFormatting sqref="H29 H31:H35">
    <cfRule type="expression" dxfId="1187" priority="29">
      <formula>H29&gt;0</formula>
    </cfRule>
    <cfRule type="expression" dxfId="1186" priority="30">
      <formula>H29&lt;0</formula>
    </cfRule>
  </conditionalFormatting>
  <conditionalFormatting sqref="F21:F28">
    <cfRule type="expression" dxfId="1185" priority="27">
      <formula>F21&gt;0</formula>
    </cfRule>
    <cfRule type="expression" dxfId="1184" priority="28">
      <formula>F21&lt;0</formula>
    </cfRule>
  </conditionalFormatting>
  <conditionalFormatting sqref="H21:H28">
    <cfRule type="expression" dxfId="1183" priority="25">
      <formula>H21&gt;0</formula>
    </cfRule>
    <cfRule type="expression" dxfId="1182" priority="26">
      <formula>H21&lt;0</formula>
    </cfRule>
  </conditionalFormatting>
  <conditionalFormatting sqref="Q8">
    <cfRule type="expression" dxfId="1181" priority="21">
      <formula>Q8&gt;0</formula>
    </cfRule>
    <cfRule type="expression" dxfId="1180" priority="22">
      <formula>Q8&lt;0</formula>
    </cfRule>
  </conditionalFormatting>
  <conditionalFormatting sqref="Q7">
    <cfRule type="expression" dxfId="1179" priority="23">
      <formula>Q7&gt;0</formula>
    </cfRule>
    <cfRule type="expression" dxfId="1178" priority="24">
      <formula>Q7&lt;0</formula>
    </cfRule>
  </conditionalFormatting>
  <conditionalFormatting sqref="F30">
    <cfRule type="expression" dxfId="1177" priority="19">
      <formula>F30&gt;0</formula>
    </cfRule>
    <cfRule type="expression" dxfId="1176" priority="20">
      <formula>F30&lt;0</formula>
    </cfRule>
  </conditionalFormatting>
  <conditionalFormatting sqref="H30">
    <cfRule type="expression" dxfId="1175" priority="17">
      <formula>H30&gt;0</formula>
    </cfRule>
    <cfRule type="expression" dxfId="1174" priority="18">
      <formula>H30&lt;0</formula>
    </cfRule>
  </conditionalFormatting>
  <conditionalFormatting sqref="F68 F70:F74">
    <cfRule type="expression" dxfId="1173" priority="13">
      <formula>F68&gt;0</formula>
    </cfRule>
    <cfRule type="expression" dxfId="1172" priority="14">
      <formula>F68&lt;0</formula>
    </cfRule>
  </conditionalFormatting>
  <conditionalFormatting sqref="F68 F70:F74">
    <cfRule type="expression" dxfId="1171" priority="15">
      <formula>F68&gt;0</formula>
    </cfRule>
    <cfRule type="expression" dxfId="1170" priority="16">
      <formula>F68&lt;0</formula>
    </cfRule>
  </conditionalFormatting>
  <conditionalFormatting sqref="H68 H70:H74">
    <cfRule type="expression" dxfId="1169" priority="11">
      <formula>H68&gt;0</formula>
    </cfRule>
    <cfRule type="expression" dxfId="1168" priority="12">
      <formula>H68&lt;0</formula>
    </cfRule>
  </conditionalFormatting>
  <conditionalFormatting sqref="F60:F67">
    <cfRule type="expression" dxfId="1167" priority="9">
      <formula>F60&gt;0</formula>
    </cfRule>
    <cfRule type="expression" dxfId="1166" priority="10">
      <formula>F60&lt;0</formula>
    </cfRule>
  </conditionalFormatting>
  <conditionalFormatting sqref="H60:H67">
    <cfRule type="expression" dxfId="1165" priority="7">
      <formula>H60&gt;0</formula>
    </cfRule>
    <cfRule type="expression" dxfId="1164" priority="8">
      <formula>H60&lt;0</formula>
    </cfRule>
  </conditionalFormatting>
  <conditionalFormatting sqref="F69">
    <cfRule type="expression" dxfId="1163" priority="5">
      <formula>F69&gt;0</formula>
    </cfRule>
    <cfRule type="expression" dxfId="1162" priority="6">
      <formula>F69&lt;0</formula>
    </cfRule>
  </conditionalFormatting>
  <conditionalFormatting sqref="H69">
    <cfRule type="expression" dxfId="1161" priority="3">
      <formula>H69&gt;0</formula>
    </cfRule>
    <cfRule type="expression" dxfId="1160" priority="4">
      <formula>H69&lt;0</formula>
    </cfRule>
  </conditionalFormatting>
  <conditionalFormatting sqref="Q10">
    <cfRule type="expression" dxfId="1159" priority="1">
      <formula>Q10&gt;0</formula>
    </cfRule>
    <cfRule type="expression" dxfId="115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27.82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27.82</v>
      </c>
      <c r="R4" s="498">
        <v>2.58E-2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697" t="s">
        <v>78</v>
      </c>
      <c r="P40" s="697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30.602000000000004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30.323800000000002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30.045600000000004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29.767400000000002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29.4892</v>
      </c>
      <c r="Q45" s="2"/>
      <c r="T45" s="92" t="s">
        <v>99</v>
      </c>
      <c r="U45" s="129" t="s">
        <v>639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29.211000000000002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28.9328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28.654600000000002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28.3764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28.098200000000002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27.82</v>
      </c>
      <c r="Q51" s="2"/>
      <c r="T51" s="92" t="s">
        <v>104</v>
      </c>
      <c r="U51" s="129" t="s">
        <v>640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27.541799999999999</v>
      </c>
      <c r="Q52" s="2"/>
      <c r="T52" s="92" t="s">
        <v>105</v>
      </c>
      <c r="U52" s="129" t="s">
        <v>578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27.2636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26.985399999999998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26.7072</v>
      </c>
      <c r="T55" s="92" t="s">
        <v>107</v>
      </c>
      <c r="U55" s="129" t="s">
        <v>641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26.428999999999998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26.1508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25.872600000000002</v>
      </c>
      <c r="T58" s="92" t="s">
        <v>108</v>
      </c>
      <c r="U58" s="129" t="s">
        <v>579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25.5944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25.316200000000002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25.038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57" priority="11">
      <formula>F33&gt;0</formula>
    </cfRule>
    <cfRule type="expression" dxfId="1156" priority="12">
      <formula>F33&lt;0</formula>
    </cfRule>
  </conditionalFormatting>
  <conditionalFormatting sqref="Q7">
    <cfRule type="expression" dxfId="1155" priority="9">
      <formula>Q7&gt;0</formula>
    </cfRule>
    <cfRule type="expression" dxfId="1154" priority="10">
      <formula>Q7&lt;0</formula>
    </cfRule>
  </conditionalFormatting>
  <conditionalFormatting sqref="Q8">
    <cfRule type="expression" dxfId="1153" priority="7">
      <formula>Q8&gt;0</formula>
    </cfRule>
    <cfRule type="expression" dxfId="1152" priority="8">
      <formula>Q8&lt;0</formula>
    </cfRule>
  </conditionalFormatting>
  <conditionalFormatting sqref="F25:F32">
    <cfRule type="expression" dxfId="1151" priority="5">
      <formula>F25&gt;0</formula>
    </cfRule>
    <cfRule type="expression" dxfId="1150" priority="6">
      <formula>F25&lt;0</formula>
    </cfRule>
  </conditionalFormatting>
  <conditionalFormatting sqref="H25:H32">
    <cfRule type="expression" dxfId="1149" priority="3">
      <formula>H25&gt;0</formula>
    </cfRule>
    <cfRule type="expression" dxfId="1148" priority="4">
      <formula>H25&lt;0</formula>
    </cfRule>
  </conditionalFormatting>
  <conditionalFormatting sqref="Q10">
    <cfRule type="expression" dxfId="1147" priority="1">
      <formula>Q10&gt;0</formula>
    </cfRule>
    <cfRule type="expression" dxfId="114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23.07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23.07</v>
      </c>
      <c r="R4" s="498">
        <v>1.8499999999999999E-2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753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697" t="s">
        <v>78</v>
      </c>
      <c r="P40" s="697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25.377000000000002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25.146300000000004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24.915600000000001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24.684900000000003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24.4542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24.223500000000001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23.992800000000003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23.7621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23.531400000000001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23.300699999999999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23.07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22.839300000000001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22.608599999999999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22.3779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22.147199999999998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21.916499999999999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21.6858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21.455100000000002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21.224400000000003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20.9937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20.763000000000002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753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45" priority="57">
      <formula>F31&gt;0</formula>
    </cfRule>
    <cfRule type="expression" dxfId="1144" priority="58">
      <formula>F31&lt;0</formula>
    </cfRule>
  </conditionalFormatting>
  <conditionalFormatting sqref="Q7">
    <cfRule type="expression" dxfId="1143" priority="55">
      <formula>Q7&gt;0</formula>
    </cfRule>
    <cfRule type="expression" dxfId="1142" priority="56">
      <formula>Q7&lt;0</formula>
    </cfRule>
  </conditionalFormatting>
  <conditionalFormatting sqref="Q8">
    <cfRule type="expression" dxfId="1141" priority="53">
      <formula>Q8&gt;0</formula>
    </cfRule>
    <cfRule type="expression" dxfId="1140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39" priority="45">
      <formula>M58&gt;0</formula>
    </cfRule>
    <cfRule type="expression" dxfId="1138" priority="46">
      <formula>M58&lt;0</formula>
    </cfRule>
  </conditionalFormatting>
  <conditionalFormatting sqref="Q10">
    <cfRule type="expression" dxfId="1137" priority="43">
      <formula>Q10&gt;0</formula>
    </cfRule>
    <cfRule type="expression" dxfId="1136" priority="44">
      <formula>Q10&lt;0</formula>
    </cfRule>
  </conditionalFormatting>
  <conditionalFormatting sqref="F25:F30">
    <cfRule type="expression" dxfId="1135" priority="41">
      <formula>F25&gt;0</formula>
    </cfRule>
    <cfRule type="expression" dxfId="1134" priority="42">
      <formula>F25&lt;0</formula>
    </cfRule>
  </conditionalFormatting>
  <conditionalFormatting sqref="H25:H30">
    <cfRule type="expression" dxfId="1133" priority="39">
      <formula>H25&gt;0</formula>
    </cfRule>
    <cfRule type="expression" dxfId="1132" priority="40">
      <formula>H25&lt;0</formula>
    </cfRule>
  </conditionalFormatting>
  <conditionalFormatting sqref="F83:F94">
    <cfRule type="expression" dxfId="1131" priority="37">
      <formula>F83&gt;0</formula>
    </cfRule>
    <cfRule type="expression" dxfId="1130" priority="38">
      <formula>F83&lt;0</formula>
    </cfRule>
  </conditionalFormatting>
  <conditionalFormatting sqref="H83:H94">
    <cfRule type="expression" dxfId="1129" priority="35">
      <formula>H83&gt;0</formula>
    </cfRule>
    <cfRule type="expression" dxfId="1128" priority="36">
      <formula>H83&lt;0</formula>
    </cfRule>
  </conditionalFormatting>
  <conditionalFormatting sqref="J41">
    <cfRule type="expression" dxfId="1127" priority="33">
      <formula>J41&gt;0</formula>
    </cfRule>
    <cfRule type="expression" dxfId="1126" priority="34">
      <formula>J41&lt;0</formula>
    </cfRule>
  </conditionalFormatting>
  <conditionalFormatting sqref="J39:J47 J49">
    <cfRule type="expression" dxfId="1125" priority="31">
      <formula>J39&gt;0</formula>
    </cfRule>
    <cfRule type="expression" dxfId="1124" priority="32">
      <formula>J39&lt;0</formula>
    </cfRule>
  </conditionalFormatting>
  <conditionalFormatting sqref="F48 H48">
    <cfRule type="expression" dxfId="1123" priority="29">
      <formula>F48&gt;0</formula>
    </cfRule>
    <cfRule type="expression" dxfId="1122" priority="30">
      <formula>F48&lt;0</formula>
    </cfRule>
  </conditionalFormatting>
  <conditionalFormatting sqref="J48">
    <cfRule type="expression" dxfId="1121" priority="27">
      <formula>J48&gt;0</formula>
    </cfRule>
    <cfRule type="expression" dxfId="1120" priority="28">
      <formula>J48&lt;0</formula>
    </cfRule>
  </conditionalFormatting>
  <conditionalFormatting sqref="K41:K52">
    <cfRule type="expression" dxfId="1119" priority="25">
      <formula>K41&gt;0</formula>
    </cfRule>
    <cfRule type="expression" dxfId="1118" priority="26">
      <formula>K41&lt;0</formula>
    </cfRule>
  </conditionalFormatting>
  <conditionalFormatting sqref="K39:K52">
    <cfRule type="expression" dxfId="1117" priority="23">
      <formula>K39&gt;0</formula>
    </cfRule>
    <cfRule type="expression" dxfId="1116" priority="24">
      <formula>K39&lt;0</formula>
    </cfRule>
  </conditionalFormatting>
  <conditionalFormatting sqref="F102:F118 H102:H118 H120:H128 F120:F128">
    <cfRule type="expression" dxfId="1115" priority="19">
      <formula>F102&gt;0</formula>
    </cfRule>
    <cfRule type="expression" dxfId="1114" priority="20">
      <formula>F102&lt;0</formula>
    </cfRule>
  </conditionalFormatting>
  <conditionalFormatting sqref="F96:F101">
    <cfRule type="expression" dxfId="1113" priority="17">
      <formula>F96&gt;0</formula>
    </cfRule>
    <cfRule type="expression" dxfId="1112" priority="18">
      <formula>F96&lt;0</formula>
    </cfRule>
  </conditionalFormatting>
  <conditionalFormatting sqref="H96:H101">
    <cfRule type="expression" dxfId="1111" priority="15">
      <formula>H96&gt;0</formula>
    </cfRule>
    <cfRule type="expression" dxfId="1110" priority="16">
      <formula>H96&lt;0</formula>
    </cfRule>
  </conditionalFormatting>
  <conditionalFormatting sqref="J112">
    <cfRule type="expression" dxfId="1109" priority="13">
      <formula>J112&gt;0</formula>
    </cfRule>
    <cfRule type="expression" dxfId="1108" priority="14">
      <formula>J112&lt;0</formula>
    </cfRule>
  </conditionalFormatting>
  <conditionalFormatting sqref="J110:J118 J120">
    <cfRule type="expression" dxfId="1107" priority="11">
      <formula>J110&gt;0</formula>
    </cfRule>
    <cfRule type="expression" dxfId="1106" priority="12">
      <formula>J110&lt;0</formula>
    </cfRule>
  </conditionalFormatting>
  <conditionalFormatting sqref="F119 H119">
    <cfRule type="expression" dxfId="1105" priority="9">
      <formula>F119&gt;0</formula>
    </cfRule>
    <cfRule type="expression" dxfId="1104" priority="10">
      <formula>F119&lt;0</formula>
    </cfRule>
  </conditionalFormatting>
  <conditionalFormatting sqref="J119">
    <cfRule type="expression" dxfId="1103" priority="7">
      <formula>J119&gt;0</formula>
    </cfRule>
    <cfRule type="expression" dxfId="1102" priority="8">
      <formula>J119&lt;0</formula>
    </cfRule>
  </conditionalFormatting>
  <conditionalFormatting sqref="K112:K123">
    <cfRule type="expression" dxfId="1101" priority="5">
      <formula>K112&gt;0</formula>
    </cfRule>
    <cfRule type="expression" dxfId="1100" priority="6">
      <formula>K112&lt;0</formula>
    </cfRule>
  </conditionalFormatting>
  <conditionalFormatting sqref="K110:K123">
    <cfRule type="expression" dxfId="1099" priority="3">
      <formula>K110&gt;0</formula>
    </cfRule>
    <cfRule type="expression" dxfId="1098" priority="4">
      <formula>K110&lt;0</formula>
    </cfRule>
  </conditionalFormatting>
  <conditionalFormatting sqref="J121">
    <cfRule type="expression" dxfId="1097" priority="1">
      <formula>J121&gt;0</formula>
    </cfRule>
    <cfRule type="expression" dxfId="1096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60.3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60.3</v>
      </c>
      <c r="R4" s="498">
        <v>3.5000000000000001E-3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697" t="s">
        <v>78</v>
      </c>
      <c r="P40" s="697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66.33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65.727000000000004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65.123999999999995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64.521000000000001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63.917999999999999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63.314999999999998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62.711999999999996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62.109000000000002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61.506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60.902999999999999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60.3</v>
      </c>
      <c r="Q51" s="2"/>
      <c r="T51" s="92" t="s">
        <v>104</v>
      </c>
      <c r="U51" s="129" t="s">
        <v>642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59.696999999999996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59.093999999999994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58.490999999999993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57.887999999999998</v>
      </c>
      <c r="T55" s="92" t="s">
        <v>107</v>
      </c>
      <c r="U55" s="129" t="s">
        <v>643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57.284999999999997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56.681999999999995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56.079000000000001</v>
      </c>
      <c r="T58" s="92" t="s">
        <v>108</v>
      </c>
      <c r="U58" s="129" t="s">
        <v>580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55.475999999999999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54.872999999999998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54.269999999999996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5" priority="15">
      <formula>F39&gt;0</formula>
    </cfRule>
    <cfRule type="expression" dxfId="1094" priority="16">
      <formula>F39&lt;0</formula>
    </cfRule>
  </conditionalFormatting>
  <conditionalFormatting sqref="Q7">
    <cfRule type="expression" dxfId="1093" priority="13">
      <formula>Q7&gt;0</formula>
    </cfRule>
    <cfRule type="expression" dxfId="1092" priority="14">
      <formula>Q7&lt;0</formula>
    </cfRule>
  </conditionalFormatting>
  <conditionalFormatting sqref="Q8">
    <cfRule type="expression" dxfId="1091" priority="11">
      <formula>Q8&gt;0</formula>
    </cfRule>
    <cfRule type="expression" dxfId="1090" priority="12">
      <formula>Q8&lt;0</formula>
    </cfRule>
  </conditionalFormatting>
  <conditionalFormatting sqref="F25:F38">
    <cfRule type="expression" dxfId="1089" priority="9">
      <formula>F25&gt;0</formula>
    </cfRule>
    <cfRule type="expression" dxfId="1088" priority="10">
      <formula>F25&lt;0</formula>
    </cfRule>
  </conditionalFormatting>
  <conditionalFormatting sqref="H25:H38">
    <cfRule type="expression" dxfId="1087" priority="7">
      <formula>H25&gt;0</formula>
    </cfRule>
    <cfRule type="expression" dxfId="108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5" priority="3">
      <formula>M55&gt;0</formula>
    </cfRule>
    <cfRule type="expression" dxfId="1084" priority="4">
      <formula>M55&lt;0</formula>
    </cfRule>
  </conditionalFormatting>
  <conditionalFormatting sqref="Q10">
    <cfRule type="expression" dxfId="1083" priority="1">
      <formula>Q10&gt;0</formula>
    </cfRule>
    <cfRule type="expression" dxfId="108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41.1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41.1</v>
      </c>
      <c r="R4" s="498">
        <v>1.5E-3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697" t="s">
        <v>78</v>
      </c>
      <c r="P40" s="697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45.210000000000008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44.799000000000007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44.388000000000005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43.977000000000004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43.566000000000003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43.155000000000001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42.744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42.333000000000006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41.922000000000004</v>
      </c>
      <c r="Q49" s="2"/>
      <c r="T49" s="92" t="s">
        <v>103</v>
      </c>
      <c r="U49" s="129" t="s">
        <v>644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41.511000000000003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41.1</v>
      </c>
      <c r="Q51" s="2"/>
      <c r="T51" s="92" t="s">
        <v>104</v>
      </c>
      <c r="U51" s="129" t="s">
        <v>645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40.689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40.277999999999999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39.866999999999997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39.456000000000003</v>
      </c>
      <c r="T55" s="92" t="s">
        <v>107</v>
      </c>
      <c r="U55" s="129" t="s">
        <v>646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39.045000000000002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38.634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38.223000000000006</v>
      </c>
      <c r="T58" s="92" t="s">
        <v>108</v>
      </c>
      <c r="U58" s="129" t="s">
        <v>549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37.812000000000005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37.401000000000003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36.99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81" priority="27">
      <formula>F27&gt;0</formula>
    </cfRule>
    <cfRule type="expression" dxfId="108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9" priority="15">
      <formula>Q8&gt;0</formula>
    </cfRule>
    <cfRule type="expression" dxfId="1078" priority="16">
      <formula>Q8&lt;0</formula>
    </cfRule>
  </conditionalFormatting>
  <conditionalFormatting sqref="Q7">
    <cfRule type="expression" dxfId="1077" priority="17">
      <formula>Q7&gt;0</formula>
    </cfRule>
    <cfRule type="expression" dxfId="1076" priority="18">
      <formula>Q7&lt;0</formula>
    </cfRule>
  </conditionalFormatting>
  <conditionalFormatting sqref="F37:F38">
    <cfRule type="expression" dxfId="1075" priority="13">
      <formula>F37&gt;0</formula>
    </cfRule>
    <cfRule type="expression" dxfId="1074" priority="14">
      <formula>F37&lt;0</formula>
    </cfRule>
  </conditionalFormatting>
  <conditionalFormatting sqref="H37:H38">
    <cfRule type="expression" dxfId="1073" priority="11">
      <formula>H37&gt;0</formula>
    </cfRule>
    <cfRule type="expression" dxfId="1072" priority="12">
      <formula>H37&lt;0</formula>
    </cfRule>
  </conditionalFormatting>
  <conditionalFormatting sqref="F23:F26 H23:H26">
    <cfRule type="expression" dxfId="1071" priority="9">
      <formula>F23&gt;0</formula>
    </cfRule>
    <cfRule type="expression" dxfId="1070" priority="10">
      <formula>F23&lt;0</formula>
    </cfRule>
  </conditionalFormatting>
  <conditionalFormatting sqref="Q10">
    <cfRule type="expression" dxfId="1069" priority="3">
      <formula>Q10&gt;0</formula>
    </cfRule>
    <cfRule type="expression" dxfId="1068" priority="4">
      <formula>Q10&lt;0</formula>
    </cfRule>
  </conditionalFormatting>
  <conditionalFormatting sqref="F22 H22">
    <cfRule type="expression" dxfId="1067" priority="1">
      <formula>F22&gt;0</formula>
    </cfRule>
    <cfRule type="expression" dxfId="1066" priority="2">
      <formula>F22&lt;0</formula>
    </cfRule>
  </conditionalFormatting>
  <conditionalFormatting sqref="M41">
    <cfRule type="expression" dxfId="1065" priority="5">
      <formula>M41&gt;0</formula>
    </cfRule>
    <cfRule type="expression" dxfId="106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54.53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54.53</v>
      </c>
      <c r="R4" s="498">
        <v>1.0800000000000001E-2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59.983000000000004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59.437700000000007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58.892400000000002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58.347100000000005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57.801800000000007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57.256500000000003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56.711200000000005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56.165900000000001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55.620600000000003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55.075299999999999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54.53</v>
      </c>
      <c r="Q51" s="2"/>
      <c r="T51" s="92" t="s">
        <v>104</v>
      </c>
      <c r="U51" s="129" t="s">
        <v>647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53.984700000000004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53.439399999999999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52.894100000000002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52.348799999999997</v>
      </c>
      <c r="T55" s="92" t="s">
        <v>107</v>
      </c>
      <c r="U55" s="129" t="s">
        <v>648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51.8035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51.258199999999995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50.712900000000005</v>
      </c>
      <c r="T58" s="92" t="s">
        <v>108</v>
      </c>
      <c r="U58" s="129" t="s">
        <v>588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50.1676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49.622300000000003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49.077000000000005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3" priority="29">
      <formula>F25&gt;0</formula>
    </cfRule>
    <cfRule type="expression" dxfId="1062" priority="30">
      <formula>F25&lt;0</formula>
    </cfRule>
  </conditionalFormatting>
  <conditionalFormatting sqref="Q7">
    <cfRule type="expression" dxfId="1061" priority="27">
      <formula>Q7&gt;0</formula>
    </cfRule>
    <cfRule type="expression" dxfId="1060" priority="28">
      <formula>Q7&lt;0</formula>
    </cfRule>
  </conditionalFormatting>
  <conditionalFormatting sqref="Q8">
    <cfRule type="expression" dxfId="1059" priority="25">
      <formula>Q8&gt;0</formula>
    </cfRule>
    <cfRule type="expression" dxfId="1058" priority="26">
      <formula>Q8&lt;0</formula>
    </cfRule>
  </conditionalFormatting>
  <conditionalFormatting sqref="Q10">
    <cfRule type="expression" dxfId="1057" priority="13">
      <formula>Q10&gt;0</formula>
    </cfRule>
    <cfRule type="expression" dxfId="1056" priority="14">
      <formula>Q10&lt;0</formula>
    </cfRule>
  </conditionalFormatting>
  <conditionalFormatting sqref="M46">
    <cfRule type="expression" dxfId="1055" priority="11">
      <formula>M46&gt;0</formula>
    </cfRule>
    <cfRule type="expression" dxfId="1054" priority="12">
      <formula>M46&lt;0</formula>
    </cfRule>
  </conditionalFormatting>
  <conditionalFormatting sqref="F80:F88 H80:H88">
    <cfRule type="expression" dxfId="1053" priority="9">
      <formula>F80&gt;0</formula>
    </cfRule>
    <cfRule type="expression" dxfId="1052" priority="10">
      <formula>F80&lt;0</formula>
    </cfRule>
  </conditionalFormatting>
  <conditionalFormatting sqref="F75:F79">
    <cfRule type="expression" dxfId="1051" priority="7">
      <formula>F75&gt;0</formula>
    </cfRule>
    <cfRule type="expression" dxfId="1050" priority="8">
      <formula>F75&lt;0</formula>
    </cfRule>
  </conditionalFormatting>
  <conditionalFormatting sqref="H75:H79">
    <cfRule type="expression" dxfId="1049" priority="5">
      <formula>H75&gt;0</formula>
    </cfRule>
    <cfRule type="expression" dxfId="1048" priority="6">
      <formula>H75&lt;0</formula>
    </cfRule>
  </conditionalFormatting>
  <conditionalFormatting sqref="F71:F74">
    <cfRule type="expression" dxfId="1047" priority="3">
      <formula>F71&gt;0</formula>
    </cfRule>
    <cfRule type="expression" dxfId="1046" priority="4">
      <formula>F71&lt;0</formula>
    </cfRule>
  </conditionalFormatting>
  <conditionalFormatting sqref="H71:H74">
    <cfRule type="expression" dxfId="1045" priority="1">
      <formula>H71&gt;0</formula>
    </cfRule>
    <cfRule type="expression" dxfId="104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48.3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48.3</v>
      </c>
      <c r="R4" s="498">
        <v>2.4400000000000002E-2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53.13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52.646999999999998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52.164000000000001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51.680999999999997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51.198</v>
      </c>
      <c r="Q45" s="2"/>
      <c r="T45" s="92" t="s">
        <v>99</v>
      </c>
      <c r="U45" s="129" t="s">
        <v>649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50.714999999999996</v>
      </c>
      <c r="Q46" s="2"/>
      <c r="T46" s="92" t="s">
        <v>100</v>
      </c>
      <c r="U46" s="129" t="s">
        <v>650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50.231999999999999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49.748999999999995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49.265999999999998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48.782999999999994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48.3</v>
      </c>
      <c r="Q51" s="2"/>
      <c r="T51" s="92" t="s">
        <v>104</v>
      </c>
      <c r="U51" s="129" t="s">
        <v>651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47.817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47.333999999999996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46.850999999999999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46.367999999999995</v>
      </c>
      <c r="T55" s="92" t="s">
        <v>107</v>
      </c>
      <c r="U55" s="129" t="s">
        <v>652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45.884999999999998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45.401999999999994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44.918999999999997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44.436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43.952999999999996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43.47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3" priority="11">
      <formula>F34&gt;0</formula>
    </cfRule>
    <cfRule type="expression" dxfId="1042" priority="12">
      <formula>F34&lt;0</formula>
    </cfRule>
  </conditionalFormatting>
  <conditionalFormatting sqref="Q7">
    <cfRule type="expression" dxfId="1041" priority="9">
      <formula>Q7&gt;0</formula>
    </cfRule>
    <cfRule type="expression" dxfId="1040" priority="10">
      <formula>Q7&lt;0</formula>
    </cfRule>
  </conditionalFormatting>
  <conditionalFormatting sqref="Q8">
    <cfRule type="expression" dxfId="1039" priority="7">
      <formula>Q8&gt;0</formula>
    </cfRule>
    <cfRule type="expression" dxfId="1038" priority="8">
      <formula>Q8&lt;0</formula>
    </cfRule>
  </conditionalFormatting>
  <conditionalFormatting sqref="F25:F33">
    <cfRule type="expression" dxfId="1037" priority="5">
      <formula>F25&gt;0</formula>
    </cfRule>
    <cfRule type="expression" dxfId="1036" priority="6">
      <formula>F25&lt;0</formula>
    </cfRule>
  </conditionalFormatting>
  <conditionalFormatting sqref="H25:H33">
    <cfRule type="expression" dxfId="1035" priority="3">
      <formula>H25&gt;0</formula>
    </cfRule>
    <cfRule type="expression" dxfId="1034" priority="4">
      <formula>H25&lt;0</formula>
    </cfRule>
  </conditionalFormatting>
  <conditionalFormatting sqref="M46">
    <cfRule type="expression" dxfId="1033" priority="1">
      <formula>M46&gt;0</formula>
    </cfRule>
    <cfRule type="expression" dxfId="103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757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27.97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27.97</v>
      </c>
      <c r="R4" s="498">
        <v>1.8200000000000001E-2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30.766999999999999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30.487300000000001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30.207599999999999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29.927900000000001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29.648199999999999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29.368500000000001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29.088799999999999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28.809100000000001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28.529399999999999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28.249700000000001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27.97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27.690299999999997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27.410599999999999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27.130899999999997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26.851199999999999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26.571499999999997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26.291799999999999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26.0121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25.732399999999998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25.4527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25.172999999999998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757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31" priority="9">
      <formula>F57&gt;0</formula>
    </cfRule>
    <cfRule type="expression" dxfId="1030" priority="10">
      <formula>F57&lt;0</formula>
    </cfRule>
  </conditionalFormatting>
  <conditionalFormatting sqref="Q7">
    <cfRule type="expression" dxfId="1029" priority="7">
      <formula>Q7&gt;0</formula>
    </cfRule>
    <cfRule type="expression" dxfId="1028" priority="8">
      <formula>Q7&lt;0</formula>
    </cfRule>
  </conditionalFormatting>
  <conditionalFormatting sqref="Q8">
    <cfRule type="expression" dxfId="1027" priority="5">
      <formula>Q8&gt;0</formula>
    </cfRule>
    <cfRule type="expression" dxfId="1026" priority="6">
      <formula>Q8&lt;0</formula>
    </cfRule>
  </conditionalFormatting>
  <conditionalFormatting sqref="F25:F56">
    <cfRule type="expression" dxfId="1025" priority="3">
      <formula>F25&gt;0</formula>
    </cfRule>
    <cfRule type="expression" dxfId="1024" priority="4">
      <formula>F25&lt;0</formula>
    </cfRule>
  </conditionalFormatting>
  <conditionalFormatting sqref="H25:H56">
    <cfRule type="expression" dxfId="1023" priority="1">
      <formula>H25&gt;0</formula>
    </cfRule>
    <cfRule type="expression" dxfId="102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78.290000000000006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78.290000000000006</v>
      </c>
      <c r="R4" s="498">
        <v>1.9E-2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86.119000000000014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85.336100000000016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84.553200000000018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83.770300000000006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82.987400000000008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82.20450000000001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81.421600000000012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80.638700000000014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79.855800000000002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79.072900000000004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78.290000000000006</v>
      </c>
      <c r="Q51" s="2"/>
      <c r="T51" s="92" t="s">
        <v>104</v>
      </c>
      <c r="U51" s="129" t="s">
        <v>653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77.507100000000008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76.72420000000001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75.941299999999998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75.1584</v>
      </c>
      <c r="T55" s="92" t="s">
        <v>107</v>
      </c>
      <c r="U55" s="129" t="s">
        <v>654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74.375500000000002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73.592600000000004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72.809700000000007</v>
      </c>
      <c r="T58" s="92" t="s">
        <v>108</v>
      </c>
      <c r="U58" s="129" t="s">
        <v>568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72.026800000000009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71.243900000000011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70.461000000000013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21" priority="15">
      <formula>F57&gt;0</formula>
    </cfRule>
    <cfRule type="expression" dxfId="1020" priority="16">
      <formula>F57&lt;0</formula>
    </cfRule>
  </conditionalFormatting>
  <conditionalFormatting sqref="Q7">
    <cfRule type="expression" dxfId="1019" priority="13">
      <formula>Q7&gt;0</formula>
    </cfRule>
    <cfRule type="expression" dxfId="1018" priority="14">
      <formula>Q7&lt;0</formula>
    </cfRule>
  </conditionalFormatting>
  <conditionalFormatting sqref="Q8">
    <cfRule type="expression" dxfId="1017" priority="11">
      <formula>Q8&gt;0</formula>
    </cfRule>
    <cfRule type="expression" dxfId="1016" priority="12">
      <formula>Q8&lt;0</formula>
    </cfRule>
  </conditionalFormatting>
  <conditionalFormatting sqref="F25:F56">
    <cfRule type="expression" dxfId="1015" priority="9">
      <formula>F25&gt;0</formula>
    </cfRule>
    <cfRule type="expression" dxfId="1014" priority="10">
      <formula>F25&lt;0</formula>
    </cfRule>
  </conditionalFormatting>
  <conditionalFormatting sqref="H25:H56">
    <cfRule type="expression" dxfId="1013" priority="7">
      <formula>H25&gt;0</formula>
    </cfRule>
    <cfRule type="expression" dxfId="1012" priority="8">
      <formula>H25&lt;0</formula>
    </cfRule>
  </conditionalFormatting>
  <conditionalFormatting sqref="M58">
    <cfRule type="expression" dxfId="1011" priority="5">
      <formula>M58&gt;0</formula>
    </cfRule>
    <cfRule type="expression" dxfId="1010" priority="6">
      <formula>M58&lt;0</formula>
    </cfRule>
  </conditionalFormatting>
  <conditionalFormatting sqref="F84:F115">
    <cfRule type="expression" dxfId="1009" priority="3">
      <formula>F84&gt;0</formula>
    </cfRule>
    <cfRule type="expression" dxfId="1008" priority="4">
      <formula>F84&lt;0</formula>
    </cfRule>
  </conditionalFormatting>
  <conditionalFormatting sqref="H84:H115">
    <cfRule type="expression" dxfId="1007" priority="1">
      <formula>H84&gt;0</formula>
    </cfRule>
    <cfRule type="expression" dxfId="100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5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5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7000</v>
      </c>
      <c r="T2" s="63">
        <v>42804</v>
      </c>
      <c r="U2" s="85" t="s">
        <v>761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0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16.048867142857141</v>
      </c>
      <c r="T3" s="63">
        <v>42866</v>
      </c>
      <c r="U3" s="85" t="s">
        <v>762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537</v>
      </c>
      <c r="M4" s="3"/>
      <c r="O4" s="11" t="s">
        <v>66</v>
      </c>
      <c r="Q4" s="55">
        <v>13.1</v>
      </c>
      <c r="R4" s="498">
        <v>6.1000000000000004E-3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91700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112342.06999999999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-6026.4989999983518</v>
      </c>
      <c r="R7">
        <v>5500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-20642.069999999978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-0.18374300918613998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1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1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1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1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1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1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1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41" spans="2:16" ht="20.25" thickBot="1" x14ac:dyDescent="0.35">
      <c r="O41" s="697" t="s">
        <v>78</v>
      </c>
      <c r="P41" s="697"/>
    </row>
    <row r="42" spans="2:16" ht="15.75" thickTop="1" x14ac:dyDescent="0.25">
      <c r="O42" s="82">
        <v>1.22</v>
      </c>
      <c r="P42" s="82">
        <f>O42*$Q$4</f>
        <v>15.981999999999999</v>
      </c>
    </row>
    <row r="43" spans="2:16" x14ac:dyDescent="0.25">
      <c r="O43" s="82">
        <v>1.21</v>
      </c>
      <c r="P43" s="82">
        <f>O43*$Q$4</f>
        <v>15.850999999999999</v>
      </c>
    </row>
    <row r="44" spans="2:16" x14ac:dyDescent="0.25">
      <c r="O44" s="82">
        <v>1.2</v>
      </c>
      <c r="P44" s="82">
        <f>O44*$Q$4</f>
        <v>15.719999999999999</v>
      </c>
    </row>
    <row r="45" spans="2:16" x14ac:dyDescent="0.25">
      <c r="O45" s="82">
        <v>1.19</v>
      </c>
      <c r="P45" s="82">
        <f>O45*$Q$4</f>
        <v>15.588999999999999</v>
      </c>
    </row>
    <row r="46" spans="2:16" x14ac:dyDescent="0.25">
      <c r="O46" s="82">
        <v>1.18</v>
      </c>
      <c r="P46" s="82">
        <f>O46*$Q$4</f>
        <v>15.457999999999998</v>
      </c>
    </row>
    <row r="47" spans="2:16" x14ac:dyDescent="0.25">
      <c r="O47" s="82">
        <v>1.17</v>
      </c>
      <c r="P47" s="82">
        <f t="shared" ref="P47:P53" si="2">O47*$Q$4</f>
        <v>15.326999999999998</v>
      </c>
    </row>
    <row r="48" spans="2:16" x14ac:dyDescent="0.25">
      <c r="G48" s="30"/>
      <c r="O48" s="82">
        <v>1.1599999999999999</v>
      </c>
      <c r="P48" s="82">
        <f t="shared" si="2"/>
        <v>15.195999999999998</v>
      </c>
    </row>
    <row r="49" spans="1:16" x14ac:dyDescent="0.25">
      <c r="A49" s="32" t="s">
        <v>81</v>
      </c>
      <c r="B49" s="502"/>
      <c r="C49" s="72">
        <f>SUM(C2:C48)</f>
        <v>10300</v>
      </c>
      <c r="D49" s="18"/>
      <c r="E49" s="18"/>
      <c r="F49" s="18">
        <f>SUM(F2:F48)</f>
        <v>163772.60999999999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SUM(M2:M3)</f>
        <v>333.25</v>
      </c>
      <c r="O49" s="82">
        <v>1.1499999999999999</v>
      </c>
      <c r="P49" s="82">
        <f t="shared" si="2"/>
        <v>15.064999999999998</v>
      </c>
    </row>
    <row r="50" spans="1:16" ht="15.75" thickBot="1" x14ac:dyDescent="0.3">
      <c r="A50" s="352" t="s">
        <v>196</v>
      </c>
      <c r="B50" s="503"/>
      <c r="C50" s="354">
        <f>SumByColor($A$50, C2:C48)</f>
        <v>3900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333</v>
      </c>
      <c r="O50" s="82">
        <v>1.1399999999999999</v>
      </c>
      <c r="P50" s="82">
        <f t="shared" si="2"/>
        <v>14.933999999999997</v>
      </c>
    </row>
    <row r="51" spans="1:16" x14ac:dyDescent="0.25">
      <c r="O51" s="82">
        <v>1.1299999999999999</v>
      </c>
      <c r="P51" s="82">
        <f t="shared" si="2"/>
        <v>14.802999999999999</v>
      </c>
    </row>
    <row r="52" spans="1:16" x14ac:dyDescent="0.25">
      <c r="O52" s="82">
        <v>1.1200000000000001</v>
      </c>
      <c r="P52" s="82">
        <f t="shared" si="2"/>
        <v>14.672000000000001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 t="s">
        <v>753</v>
      </c>
      <c r="O53" s="82">
        <v>1.1100000000000001</v>
      </c>
      <c r="P53" s="82">
        <f t="shared" si="2"/>
        <v>14.541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14.41</v>
      </c>
    </row>
    <row r="55" spans="1:16" x14ac:dyDescent="0.25">
      <c r="A55" t="s">
        <v>469</v>
      </c>
      <c r="B55" s="155">
        <v>42788</v>
      </c>
      <c r="C55" s="443">
        <v>6000</v>
      </c>
      <c r="D55" s="673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14.279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>
        <f t="shared" ref="L56:L81" si="13">(G56-$Q$10)/C56</f>
        <v>13.962523454545162</v>
      </c>
      <c r="O56" s="82">
        <v>1.08</v>
      </c>
      <c r="P56" s="82">
        <f t="shared" si="9"/>
        <v>14.148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4">C57*(E57-D57)</f>
        <v>-2694.5999999999872</v>
      </c>
      <c r="G57" s="40">
        <f t="shared" ref="G57" si="15">D57*C57</f>
        <v>99534.599999999991</v>
      </c>
      <c r="H57" s="229">
        <f t="shared" ref="H57" si="16">(E57-D57)/D57</f>
        <v>-2.7071993055681011E-2</v>
      </c>
      <c r="I57" s="40">
        <v>16.25</v>
      </c>
      <c r="J57" s="40"/>
      <c r="K57" s="40">
        <v>11921</v>
      </c>
      <c r="L57" s="40">
        <f t="shared" si="13"/>
        <v>14.153171499999727</v>
      </c>
      <c r="O57" s="82">
        <v>1.07</v>
      </c>
      <c r="P57" s="82">
        <f t="shared" si="9"/>
        <v>14.017000000000001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7">C58*(E58-D58)</f>
        <v>-2694.5999999999872</v>
      </c>
      <c r="G58" s="40">
        <f t="shared" ref="G58" si="18">D58*C58</f>
        <v>99534.599999999991</v>
      </c>
      <c r="H58" s="229">
        <f t="shared" ref="H58" si="19">(E58-D58)/D58</f>
        <v>-2.7071993055681011E-2</v>
      </c>
      <c r="I58" s="40">
        <v>16.25</v>
      </c>
      <c r="J58" s="40"/>
      <c r="K58" s="40">
        <v>12161</v>
      </c>
      <c r="L58" s="40">
        <f t="shared" si="13"/>
        <v>14.153171499999727</v>
      </c>
      <c r="O58" s="82">
        <v>1.06</v>
      </c>
      <c r="P58" s="82">
        <f t="shared" si="9"/>
        <v>13.886000000000001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20">C59*(E59-D59)</f>
        <v>-714.59999999999718</v>
      </c>
      <c r="G59" s="40">
        <f t="shared" ref="G59:G60" si="21">D59*C59</f>
        <v>99534.599999999991</v>
      </c>
      <c r="H59" s="229">
        <f t="shared" ref="H59:H60" si="22">(E59-D59)/D59</f>
        <v>-7.1794129880463405E-3</v>
      </c>
      <c r="I59" s="40">
        <v>16.25</v>
      </c>
      <c r="J59" s="40"/>
      <c r="K59" s="40">
        <v>13901</v>
      </c>
      <c r="L59" s="40">
        <f t="shared" si="13"/>
        <v>14.153171499999727</v>
      </c>
      <c r="O59" s="82">
        <v>1.05</v>
      </c>
      <c r="P59" s="82">
        <f t="shared" si="9"/>
        <v>13.755000000000001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20"/>
        <v>-10431.900000000003</v>
      </c>
      <c r="G60" s="40">
        <f t="shared" si="21"/>
        <v>110060.9</v>
      </c>
      <c r="H60" s="230">
        <f t="shared" si="22"/>
        <v>-9.478297924149269E-2</v>
      </c>
      <c r="I60" s="40"/>
      <c r="J60" s="40"/>
      <c r="K60" s="40">
        <v>4183.99</v>
      </c>
      <c r="L60" s="40">
        <f t="shared" si="13"/>
        <v>14.245571492537071</v>
      </c>
      <c r="O60" s="82">
        <v>1.04</v>
      </c>
      <c r="P60" s="82">
        <f t="shared" si="9"/>
        <v>13.624000000000001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3">C61*(E61-D61)</f>
        <v>-2595.7799999999979</v>
      </c>
      <c r="G61" s="40">
        <f t="shared" ref="G61" si="24">D61*C61</f>
        <v>99015.78</v>
      </c>
      <c r="H61" s="230">
        <f t="shared" ref="H61" si="25">(E61-D61)/D61</f>
        <v>-2.6215821356959445E-2</v>
      </c>
      <c r="I61" s="40">
        <v>16.25</v>
      </c>
      <c r="J61" s="40"/>
      <c r="K61" s="40">
        <v>12020</v>
      </c>
      <c r="L61" s="40">
        <f t="shared" si="13"/>
        <v>14.066701499999729</v>
      </c>
      <c r="O61" s="82">
        <v>1.03</v>
      </c>
      <c r="P61" s="82">
        <f t="shared" si="9"/>
        <v>13.493</v>
      </c>
    </row>
    <row r="62" spans="1:16" x14ac:dyDescent="0.25">
      <c r="A62">
        <v>4200</v>
      </c>
      <c r="B62" s="155">
        <v>42805</v>
      </c>
      <c r="C62" s="443">
        <v>6000</v>
      </c>
      <c r="D62" s="673">
        <v>16.447600000000001</v>
      </c>
      <c r="E62" s="40">
        <v>16.16</v>
      </c>
      <c r="F62" s="40">
        <f t="shared" ref="F62" si="26">C62*(E62-D62)</f>
        <v>-1725.6000000000072</v>
      </c>
      <c r="G62" s="40">
        <f t="shared" ref="G62" si="27">D62*C62</f>
        <v>98685.6</v>
      </c>
      <c r="H62" s="230">
        <f t="shared" ref="H62" si="28">(E62-D62)/D62</f>
        <v>-1.7485833799460174E-2</v>
      </c>
      <c r="I62" s="40" t="s">
        <v>187</v>
      </c>
      <c r="J62" s="40"/>
      <c r="K62" s="40">
        <v>12890</v>
      </c>
      <c r="L62" s="40">
        <f t="shared" si="13"/>
        <v>14.01167149999973</v>
      </c>
      <c r="O62" s="82">
        <v>1.02</v>
      </c>
      <c r="P62" s="82">
        <f t="shared" si="9"/>
        <v>13.362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9">C63*(E63-D63)</f>
        <v>-3645.600000000009</v>
      </c>
      <c r="G63" s="40">
        <f t="shared" ref="G63" si="30">D63*C63</f>
        <v>98685.6</v>
      </c>
      <c r="H63" s="230">
        <f t="shared" ref="H63" si="31">(E63-D63)/D63</f>
        <v>-3.6941559862837217E-2</v>
      </c>
      <c r="I63" s="40"/>
      <c r="J63" s="40"/>
      <c r="K63" s="40">
        <v>10970</v>
      </c>
      <c r="L63" s="40">
        <f t="shared" si="13"/>
        <v>14.01167149999973</v>
      </c>
      <c r="O63" s="82">
        <v>1.01</v>
      </c>
      <c r="P63" s="82">
        <f t="shared" si="9"/>
        <v>13.231</v>
      </c>
    </row>
    <row r="64" spans="1:16" x14ac:dyDescent="0.25">
      <c r="A64">
        <v>3700</v>
      </c>
      <c r="B64" s="155">
        <v>42808</v>
      </c>
      <c r="C64" s="443">
        <v>6000</v>
      </c>
      <c r="D64" s="673">
        <v>16.422999999999998</v>
      </c>
      <c r="E64" s="40">
        <v>15.32</v>
      </c>
      <c r="F64" s="40">
        <f t="shared" ref="F64" si="32">C64*(E64-D64)</f>
        <v>-6617.9999999999882</v>
      </c>
      <c r="G64" s="40">
        <f t="shared" ref="G64" si="33">D64*C64</f>
        <v>98537.999999999985</v>
      </c>
      <c r="H64" s="230">
        <f t="shared" ref="H64" si="34">(E64-D64)/D64</f>
        <v>-6.7161907081531885E-2</v>
      </c>
      <c r="I64" s="40">
        <v>16.25</v>
      </c>
      <c r="J64" s="40">
        <v>41.23</v>
      </c>
      <c r="K64" s="40">
        <v>8000</v>
      </c>
      <c r="L64" s="40">
        <f t="shared" si="13"/>
        <v>13.987071499999727</v>
      </c>
      <c r="O64" s="82">
        <v>1</v>
      </c>
      <c r="P64" s="82">
        <f t="shared" si="9"/>
        <v>13.1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5">C65*(E65-D65)</f>
        <v>-5177.9999999999864</v>
      </c>
      <c r="G65" s="40">
        <f t="shared" ref="G65" si="36">D65*C65</f>
        <v>98537.999999999985</v>
      </c>
      <c r="H65" s="230">
        <f t="shared" ref="H65" si="37">(E65-D65)/D65</f>
        <v>-5.254825549534177E-2</v>
      </c>
      <c r="I65" s="40">
        <v>16.25</v>
      </c>
      <c r="J65" s="40">
        <v>44</v>
      </c>
      <c r="K65" s="40">
        <v>9439</v>
      </c>
      <c r="L65" s="40">
        <f t="shared" si="13"/>
        <v>13.987071499999727</v>
      </c>
      <c r="O65" s="82">
        <v>0.99</v>
      </c>
      <c r="P65" s="82">
        <f t="shared" si="9"/>
        <v>12.968999999999999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8">C66*(E66-D66)</f>
        <v>-8316.1599999999908</v>
      </c>
      <c r="G66" s="40">
        <f t="shared" ref="G66" si="39">D66*C66</f>
        <v>104636.15999999999</v>
      </c>
      <c r="H66" s="230">
        <f t="shared" ref="H66" si="40">(E66-D66)/D66</f>
        <v>-7.9476922700527156E-2</v>
      </c>
      <c r="I66" s="40"/>
      <c r="J66" s="40"/>
      <c r="K66" s="40">
        <v>6300</v>
      </c>
      <c r="L66" s="40">
        <f t="shared" si="13"/>
        <v>14.065717031249743</v>
      </c>
      <c r="O66" s="82">
        <v>0.98</v>
      </c>
      <c r="P66" s="82">
        <f t="shared" si="9"/>
        <v>12.837999999999999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1">C67*(E67-D67)</f>
        <v>-11132.16</v>
      </c>
      <c r="G67" s="40">
        <f t="shared" ref="G67" si="42">D67*C67</f>
        <v>104636.15999999999</v>
      </c>
      <c r="H67" s="230">
        <f t="shared" ref="H67" si="43">(E67-D67)/D67</f>
        <v>-0.10638922529267128</v>
      </c>
      <c r="I67" s="40"/>
      <c r="J67" s="40"/>
      <c r="K67" s="40">
        <v>3484</v>
      </c>
      <c r="L67" s="40">
        <f t="shared" si="13"/>
        <v>14.065717031249743</v>
      </c>
      <c r="O67" s="82">
        <v>0.97</v>
      </c>
      <c r="P67" s="82">
        <f t="shared" si="9"/>
        <v>12.706999999999999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4">C68*(E68-D68)</f>
        <v>-10236.159999999996</v>
      </c>
      <c r="G68" s="40">
        <f t="shared" ref="G68" si="45">D68*C68</f>
        <v>104636.15999999999</v>
      </c>
      <c r="H68" s="230">
        <f t="shared" ref="H68" si="46">(E68-D68)/D68</f>
        <v>-9.78262199224436E-2</v>
      </c>
      <c r="I68" s="40"/>
      <c r="J68" s="40"/>
      <c r="K68" s="40">
        <v>4380</v>
      </c>
      <c r="L68" s="40">
        <f t="shared" si="13"/>
        <v>14.065717031249743</v>
      </c>
      <c r="O68" s="82">
        <v>0.96</v>
      </c>
      <c r="P68" s="82">
        <f t="shared" si="9"/>
        <v>12.575999999999999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7">C69*(E69-D69)</f>
        <v>-7164.1599999999926</v>
      </c>
      <c r="G69" s="40">
        <f t="shared" ref="G69:G70" si="48">D69*C69</f>
        <v>104636.15999999999</v>
      </c>
      <c r="H69" s="230">
        <f t="shared" ref="H69:H70" si="49">(E69-D69)/D69</f>
        <v>-6.8467344367377322E-2</v>
      </c>
      <c r="I69" s="40"/>
      <c r="J69" s="40"/>
      <c r="K69" s="40">
        <v>7452</v>
      </c>
      <c r="L69" s="40">
        <f t="shared" si="13"/>
        <v>14.065717031249743</v>
      </c>
      <c r="O69" s="82">
        <v>0.95</v>
      </c>
      <c r="P69" s="82">
        <f t="shared" si="9"/>
        <v>12.444999999999999</v>
      </c>
    </row>
    <row r="70" spans="1:16" x14ac:dyDescent="0.25">
      <c r="A70">
        <v>3900</v>
      </c>
      <c r="B70" s="155">
        <v>42823</v>
      </c>
      <c r="C70" s="443">
        <v>6000</v>
      </c>
      <c r="D70" s="673">
        <v>16.407399999999999</v>
      </c>
      <c r="E70" s="40">
        <v>15.48</v>
      </c>
      <c r="F70" s="40">
        <f t="shared" si="47"/>
        <v>-5564.3999999999924</v>
      </c>
      <c r="G70" s="40">
        <f t="shared" si="48"/>
        <v>98444.4</v>
      </c>
      <c r="H70" s="230">
        <f t="shared" si="49"/>
        <v>-5.6523276082743074E-2</v>
      </c>
      <c r="I70" s="40">
        <v>16.25</v>
      </c>
      <c r="J70" s="40"/>
      <c r="K70" s="40">
        <v>9051</v>
      </c>
      <c r="L70" s="40">
        <f t="shared" si="13"/>
        <v>13.971471499999728</v>
      </c>
      <c r="O70" s="82">
        <v>0.94</v>
      </c>
      <c r="P70" s="82">
        <f t="shared" si="9"/>
        <v>12.313999999999998</v>
      </c>
    </row>
    <row r="71" spans="1:16" x14ac:dyDescent="0.25">
      <c r="A71">
        <v>4100</v>
      </c>
      <c r="B71" s="155">
        <v>42830</v>
      </c>
      <c r="C71" s="443">
        <v>6000</v>
      </c>
      <c r="D71" s="673">
        <v>16.388999999999999</v>
      </c>
      <c r="E71" s="40">
        <v>15.98</v>
      </c>
      <c r="F71" s="40">
        <f t="shared" ref="F71:F83" si="50">C71*(E71-D71)</f>
        <v>-2453.9999999999936</v>
      </c>
      <c r="G71" s="40">
        <f t="shared" ref="G71:G83" si="51">D71*C71</f>
        <v>98334</v>
      </c>
      <c r="H71" s="230">
        <f t="shared" ref="H71:H83" si="52">(E71-D71)/D71</f>
        <v>-2.4955763011776128E-2</v>
      </c>
      <c r="I71" s="40">
        <v>16.25</v>
      </c>
      <c r="J71" s="40"/>
      <c r="K71" s="40">
        <v>12159</v>
      </c>
      <c r="L71" s="40">
        <f t="shared" si="13"/>
        <v>13.953071499999728</v>
      </c>
      <c r="O71" s="82">
        <v>0.93</v>
      </c>
      <c r="P71" s="82">
        <f t="shared" si="9"/>
        <v>12.183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50"/>
        <v>-2944.9999999999977</v>
      </c>
      <c r="G72" s="40">
        <f t="shared" si="51"/>
        <v>101525</v>
      </c>
      <c r="H72" s="229">
        <f t="shared" si="52"/>
        <v>-2.9007633587786238E-2</v>
      </c>
      <c r="I72" s="40"/>
      <c r="J72" s="40"/>
      <c r="K72" s="40">
        <v>11731</v>
      </c>
      <c r="L72" s="40">
        <f t="shared" si="13"/>
        <v>14.017649838709415</v>
      </c>
      <c r="O72" s="82">
        <v>0.92</v>
      </c>
      <c r="P72" s="82">
        <f t="shared" si="9"/>
        <v>12.052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50"/>
        <v>-8160.0000000000018</v>
      </c>
      <c r="G73" s="40">
        <f t="shared" si="51"/>
        <v>104544</v>
      </c>
      <c r="H73" s="229">
        <f t="shared" si="52"/>
        <v>-7.805325987144171E-2</v>
      </c>
      <c r="I73" s="40"/>
      <c r="J73" s="40"/>
      <c r="K73" s="40">
        <v>6457</v>
      </c>
      <c r="L73" s="40">
        <f t="shared" si="13"/>
        <v>14.051317031249745</v>
      </c>
      <c r="O73" s="82">
        <v>0.91</v>
      </c>
      <c r="P73" s="82">
        <f t="shared" si="9"/>
        <v>11.920999999999999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50"/>
        <v>-9370.8799999999992</v>
      </c>
      <c r="G74" s="40">
        <f t="shared" si="51"/>
        <v>104538.87999999999</v>
      </c>
      <c r="H74" s="229">
        <f t="shared" si="52"/>
        <v>-8.9640141543509938E-2</v>
      </c>
      <c r="I74" s="40"/>
      <c r="J74" s="40"/>
      <c r="K74" s="40">
        <v>5245</v>
      </c>
      <c r="L74" s="40">
        <f t="shared" si="13"/>
        <v>14.050517031249745</v>
      </c>
      <c r="O74" s="82">
        <v>0.9</v>
      </c>
      <c r="P74" s="82">
        <f t="shared" si="9"/>
        <v>11.79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50"/>
        <v>-12971.199999999999</v>
      </c>
      <c r="G75" s="40">
        <f t="shared" si="51"/>
        <v>108714.2</v>
      </c>
      <c r="H75" s="229">
        <f t="shared" si="52"/>
        <v>-0.11931468014298041</v>
      </c>
      <c r="I75" s="40"/>
      <c r="J75" s="40"/>
      <c r="K75" s="40">
        <v>1644</v>
      </c>
      <c r="L75" s="40">
        <f t="shared" si="13"/>
        <v>14.04457149253707</v>
      </c>
      <c r="O75" s="82">
        <v>0.89</v>
      </c>
      <c r="P75" s="82">
        <f>O75*$Q$4</f>
        <v>11.659000000000001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50"/>
        <v>-12971.199999999999</v>
      </c>
      <c r="G76" s="40">
        <f t="shared" si="51"/>
        <v>108714.2</v>
      </c>
      <c r="H76" s="229">
        <f t="shared" si="52"/>
        <v>-0.11931468014298041</v>
      </c>
      <c r="I76" s="40"/>
      <c r="J76" s="40"/>
      <c r="K76" s="40">
        <v>1644</v>
      </c>
      <c r="L76" s="40">
        <f t="shared" si="13"/>
        <v>14.04457149253707</v>
      </c>
      <c r="O76" s="82">
        <v>0.88</v>
      </c>
      <c r="P76" s="82">
        <f>O76*$Q$4</f>
        <v>11.528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50"/>
        <v>-11059.20000000001</v>
      </c>
      <c r="G77" s="40">
        <f t="shared" si="51"/>
        <v>104435.20000000001</v>
      </c>
      <c r="H77" s="229">
        <f t="shared" si="52"/>
        <v>-0.1058953303100871</v>
      </c>
      <c r="I77" s="40"/>
      <c r="J77" s="40"/>
      <c r="K77" s="40">
        <v>3559</v>
      </c>
      <c r="L77" s="40">
        <f t="shared" si="13"/>
        <v>14.034317031249747</v>
      </c>
      <c r="O77" s="82">
        <v>0.87</v>
      </c>
      <c r="P77" s="82">
        <f>O77*$Q$4</f>
        <v>11.397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50"/>
        <v>-11763.200000000006</v>
      </c>
      <c r="G78" s="40">
        <f t="shared" si="51"/>
        <v>104435.20000000001</v>
      </c>
      <c r="H78" s="229">
        <f t="shared" si="52"/>
        <v>-0.11263635249417826</v>
      </c>
      <c r="I78" s="40"/>
      <c r="J78" s="40"/>
      <c r="K78" s="40">
        <v>2855</v>
      </c>
      <c r="L78" s="40">
        <f t="shared" si="13"/>
        <v>14.034317031249747</v>
      </c>
      <c r="O78" s="82">
        <v>0.86</v>
      </c>
      <c r="P78" s="82">
        <f>O78*$Q$4</f>
        <v>11.266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50"/>
        <v>-12572.174999999994</v>
      </c>
      <c r="G79" s="40">
        <f t="shared" si="51"/>
        <v>106292.02499999999</v>
      </c>
      <c r="H79" s="229">
        <f t="shared" si="52"/>
        <v>-0.11827956989247307</v>
      </c>
      <c r="I79" s="40"/>
      <c r="J79" s="40"/>
      <c r="K79" s="40">
        <v>2044</v>
      </c>
      <c r="L79" s="40">
        <f t="shared" si="13"/>
        <v>14.037123564538106</v>
      </c>
      <c r="O79" s="82">
        <v>0.85</v>
      </c>
      <c r="P79" s="82">
        <f>O79*$Q$4</f>
        <v>11.135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50"/>
        <v>-12518.400000000009</v>
      </c>
      <c r="G80" s="40">
        <f t="shared" si="51"/>
        <v>104358.40000000001</v>
      </c>
      <c r="H80" s="229">
        <f t="shared" si="52"/>
        <v>-0.11995584447442667</v>
      </c>
      <c r="I80" s="40"/>
      <c r="J80" s="40"/>
      <c r="K80" s="40">
        <v>2098</v>
      </c>
      <c r="L80" s="40">
        <f t="shared" si="13"/>
        <v>14.022317031249747</v>
      </c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50"/>
        <v>-13735.000000000005</v>
      </c>
      <c r="G81" s="40">
        <f t="shared" si="51"/>
        <v>108607</v>
      </c>
      <c r="H81" s="229">
        <f t="shared" si="52"/>
        <v>-0.1264651449722394</v>
      </c>
      <c r="I81" s="40"/>
      <c r="J81" s="40"/>
      <c r="K81" s="40">
        <v>1016</v>
      </c>
      <c r="L81" s="40">
        <f t="shared" si="13"/>
        <v>14.02857149253707</v>
      </c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50"/>
        <v>-10918.400000000009</v>
      </c>
      <c r="G82" s="40">
        <f t="shared" si="51"/>
        <v>104230.40000000001</v>
      </c>
      <c r="H82" s="229">
        <f t="shared" si="52"/>
        <v>-0.10475254820090883</v>
      </c>
      <c r="I82" s="40"/>
      <c r="J82" s="40"/>
      <c r="K82" s="40">
        <v>3664</v>
      </c>
      <c r="L82" s="40">
        <f>(G82-$Q$10)/C82</f>
        <v>14.002317031249747</v>
      </c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50"/>
        <v>-17850.000000000004</v>
      </c>
      <c r="G83" s="40">
        <f t="shared" si="51"/>
        <v>112350</v>
      </c>
      <c r="H83" s="229">
        <f t="shared" si="52"/>
        <v>-0.15887850467289724</v>
      </c>
      <c r="I83" s="40"/>
      <c r="J83" s="40"/>
      <c r="K83" s="40">
        <v>-3227</v>
      </c>
      <c r="L83" s="40">
        <f>(G83-$Q$10)/C83</f>
        <v>13.962061285714054</v>
      </c>
    </row>
    <row r="84" spans="1:12" x14ac:dyDescent="0.25">
      <c r="B84" s="155"/>
      <c r="C84" s="10"/>
      <c r="D84" s="240"/>
      <c r="E84" s="40"/>
      <c r="F84" s="40"/>
      <c r="G84" s="40"/>
      <c r="H84" s="229"/>
      <c r="I84" s="40"/>
      <c r="J84" s="40"/>
      <c r="K84" s="40"/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1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3">IF(C90=0, 0,D90*C90)</f>
        <v>68120</v>
      </c>
      <c r="H90" s="380">
        <f t="shared" ref="H90:H96" si="54">IF(C90=0, D90, (E90-D90)/D90)</f>
        <v>-0.48091603053435117</v>
      </c>
      <c r="I90" s="378"/>
    </row>
    <row r="91" spans="1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3"/>
        <v>0</v>
      </c>
      <c r="H91" s="380" t="str">
        <f t="shared" si="54"/>
        <v>N/A</v>
      </c>
      <c r="I91" s="378"/>
    </row>
    <row r="92" spans="1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3"/>
        <v>0</v>
      </c>
      <c r="H92" s="380" t="str">
        <f t="shared" si="54"/>
        <v>N/A</v>
      </c>
      <c r="I92" s="378"/>
    </row>
    <row r="93" spans="1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3"/>
        <v>75600</v>
      </c>
      <c r="H93" s="380">
        <f t="shared" si="54"/>
        <v>-0.39517195767195767</v>
      </c>
      <c r="I93" s="378"/>
    </row>
    <row r="94" spans="1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3"/>
        <v>0</v>
      </c>
      <c r="H94" s="380" t="str">
        <f t="shared" si="54"/>
        <v>N/A</v>
      </c>
      <c r="I94" s="378"/>
    </row>
    <row r="95" spans="1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3"/>
        <v>82367.28</v>
      </c>
      <c r="H95" s="380">
        <f t="shared" si="54"/>
        <v>-0.34828101644245141</v>
      </c>
      <c r="I95" s="378"/>
    </row>
    <row r="96" spans="1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3"/>
        <v>0</v>
      </c>
      <c r="H96" s="380" t="str">
        <f t="shared" si="54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5">C98*(E98-D98)</f>
        <v>-29017.579999999998</v>
      </c>
      <c r="G98" s="378">
        <f t="shared" ref="G98:G127" si="56">D98*C98</f>
        <v>91417.900000000009</v>
      </c>
      <c r="H98" s="379">
        <f t="shared" ref="H98:H127" si="57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5"/>
        <v>-31836.35999999999</v>
      </c>
      <c r="G99" s="378">
        <f t="shared" si="56"/>
        <v>101483.62</v>
      </c>
      <c r="H99" s="379">
        <f t="shared" si="57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5"/>
        <v>-34009.06</v>
      </c>
      <c r="G100" s="378">
        <f t="shared" si="56"/>
        <v>109418.42</v>
      </c>
      <c r="H100" s="379">
        <f t="shared" si="57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5"/>
        <v>-34008.920000000006</v>
      </c>
      <c r="G101" s="378">
        <f t="shared" si="56"/>
        <v>101358.28000000001</v>
      </c>
      <c r="H101" s="379">
        <f t="shared" si="57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5"/>
        <v>-39575.879999999997</v>
      </c>
      <c r="G102" s="378">
        <f t="shared" si="56"/>
        <v>108716.71999999999</v>
      </c>
      <c r="H102" s="379">
        <f t="shared" si="57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5"/>
        <v>-38892.919999999991</v>
      </c>
      <c r="G103" s="378">
        <f t="shared" si="56"/>
        <v>110180.68</v>
      </c>
      <c r="H103" s="379">
        <f t="shared" si="57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5"/>
        <v>-39649.22</v>
      </c>
      <c r="G104" s="378">
        <f t="shared" si="56"/>
        <v>101232.94</v>
      </c>
      <c r="H104" s="379">
        <f t="shared" si="57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5"/>
        <v>-41303.94</v>
      </c>
      <c r="G105" s="378">
        <f t="shared" si="56"/>
        <v>94046.46</v>
      </c>
      <c r="H105" s="379">
        <f t="shared" si="57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5"/>
        <v>-42699.159999999996</v>
      </c>
      <c r="G106" s="378">
        <f t="shared" si="56"/>
        <v>101024.04</v>
      </c>
      <c r="H106" s="379">
        <f t="shared" si="57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5"/>
        <v>-47715.600000000006</v>
      </c>
      <c r="G107" s="378">
        <f t="shared" si="56"/>
        <v>107500.44</v>
      </c>
      <c r="H107" s="379">
        <f t="shared" si="57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5"/>
        <v>-46809.119999999995</v>
      </c>
      <c r="G108" s="378">
        <f t="shared" si="56"/>
        <v>113864.21999999999</v>
      </c>
      <c r="H108" s="379">
        <f t="shared" si="57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5"/>
        <v>-47694.16</v>
      </c>
      <c r="G109" s="378">
        <f t="shared" si="56"/>
        <v>126525.44</v>
      </c>
      <c r="H109" s="379">
        <f t="shared" si="57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5"/>
        <v>-48128</v>
      </c>
      <c r="G110" s="378">
        <f t="shared" si="56"/>
        <v>129280</v>
      </c>
      <c r="H110" s="379">
        <f t="shared" si="57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5"/>
        <v>-48155.4</v>
      </c>
      <c r="G111" s="378">
        <f t="shared" si="56"/>
        <v>113708.88</v>
      </c>
      <c r="H111" s="379">
        <f t="shared" si="57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5"/>
        <v>-42239.579999999994</v>
      </c>
      <c r="G112" s="378">
        <f t="shared" si="56"/>
        <v>100564.46</v>
      </c>
      <c r="H112" s="379">
        <f t="shared" si="57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5"/>
        <v>-42072.46</v>
      </c>
      <c r="G113" s="378">
        <f t="shared" si="56"/>
        <v>100397.34000000001</v>
      </c>
      <c r="H113" s="379">
        <f t="shared" si="57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5"/>
        <v>-45543.96</v>
      </c>
      <c r="G114" s="378">
        <f t="shared" si="56"/>
        <v>132958.98000000001</v>
      </c>
      <c r="H114" s="379">
        <f t="shared" si="57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5"/>
        <v>-45906.62000000001</v>
      </c>
      <c r="G115" s="378">
        <f t="shared" si="56"/>
        <v>158980.96</v>
      </c>
      <c r="H115" s="379">
        <f t="shared" si="57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5"/>
        <v>-51777.299999999996</v>
      </c>
      <c r="G116" s="378">
        <f t="shared" si="56"/>
        <v>171590.94</v>
      </c>
      <c r="H116" s="380">
        <f t="shared" si="57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5"/>
        <v>-49664.193999999989</v>
      </c>
      <c r="G117" s="378">
        <f t="shared" si="56"/>
        <v>158920.21399999998</v>
      </c>
      <c r="H117" s="380">
        <f t="shared" si="57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5"/>
        <v>-47987.500000000015</v>
      </c>
      <c r="G118" s="378">
        <f t="shared" si="56"/>
        <v>145958.78</v>
      </c>
      <c r="H118" s="380">
        <f t="shared" si="57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5"/>
        <v>-47702.966000000015</v>
      </c>
      <c r="G119" s="378">
        <f t="shared" si="56"/>
        <v>158434.24600000001</v>
      </c>
      <c r="H119" s="380">
        <f t="shared" si="57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5"/>
        <v>-60971.399999999987</v>
      </c>
      <c r="G120" s="378">
        <f t="shared" si="56"/>
        <v>170139.24</v>
      </c>
      <c r="H120" s="380">
        <f t="shared" si="57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5"/>
        <v>-77656.859999999986</v>
      </c>
      <c r="G121" s="378">
        <f t="shared" si="56"/>
        <v>166354.54</v>
      </c>
      <c r="H121" s="380">
        <f t="shared" si="57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5"/>
        <v>-85359.959999999992</v>
      </c>
      <c r="G122" s="378">
        <f t="shared" si="56"/>
        <v>169945.68</v>
      </c>
      <c r="H122" s="380">
        <f t="shared" si="57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5"/>
        <v>-100883.47199999999</v>
      </c>
      <c r="G123" s="378">
        <f t="shared" si="56"/>
        <v>169887.61199999999</v>
      </c>
      <c r="H123" s="379">
        <f t="shared" si="57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5"/>
        <v>-97651.02</v>
      </c>
      <c r="G124" s="378">
        <f t="shared" si="56"/>
        <v>169848.9</v>
      </c>
      <c r="H124" s="379">
        <f t="shared" si="57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5"/>
        <v>-97231.731999999989</v>
      </c>
      <c r="G125" s="378">
        <f t="shared" si="56"/>
        <v>165974.95199999999</v>
      </c>
      <c r="H125" s="379">
        <f t="shared" si="57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5"/>
        <v>-97234.865999999995</v>
      </c>
      <c r="G126" s="378">
        <f t="shared" si="56"/>
        <v>169723.08599999998</v>
      </c>
      <c r="H126" s="379">
        <f t="shared" si="57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5"/>
        <v>-104373.632</v>
      </c>
      <c r="G127" s="378">
        <f t="shared" si="56"/>
        <v>197776.17199999999</v>
      </c>
      <c r="H127" s="379">
        <f t="shared" si="57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5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5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8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8"/>
        <v>-94166.28</v>
      </c>
      <c r="G131" s="378">
        <f t="shared" ref="G131:G138" si="59">IF(C131=0, 0,D131*C131)</f>
        <v>165387.56</v>
      </c>
      <c r="H131" s="379">
        <f t="shared" ref="H131:H138" si="60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8"/>
        <v>-91969.787999999986</v>
      </c>
      <c r="G132" s="378">
        <f t="shared" si="59"/>
        <v>157393.788</v>
      </c>
      <c r="H132" s="379">
        <f t="shared" si="60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8"/>
        <v>-91154.7</v>
      </c>
      <c r="G133" s="378">
        <f t="shared" si="59"/>
        <v>145246.5</v>
      </c>
      <c r="H133" s="379">
        <f t="shared" si="60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8"/>
        <v>-92238.461999999985</v>
      </c>
      <c r="G134" s="378">
        <f t="shared" si="59"/>
        <v>161141.78199999998</v>
      </c>
      <c r="H134" s="379">
        <f t="shared" si="60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8"/>
        <v>-89571.54800000001</v>
      </c>
      <c r="G135" s="378">
        <f t="shared" si="59"/>
        <v>152607.92800000001</v>
      </c>
      <c r="H135" s="379">
        <f t="shared" si="60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8"/>
        <v>-89550.534</v>
      </c>
      <c r="G136" s="378">
        <f t="shared" si="59"/>
        <v>169006.91400000002</v>
      </c>
      <c r="H136" s="379">
        <f t="shared" si="60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8"/>
        <v>-89678.238000000012</v>
      </c>
      <c r="G137" s="378">
        <f t="shared" si="59"/>
        <v>165029.61800000002</v>
      </c>
      <c r="H137" s="379">
        <f t="shared" si="60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8"/>
        <v>-89511.821999999986</v>
      </c>
      <c r="G138" s="378">
        <f t="shared" si="59"/>
        <v>168968.20199999999</v>
      </c>
      <c r="H138" s="379">
        <f t="shared" si="60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1">C139*(E139-D139)</f>
        <v>-89632.347999999984</v>
      </c>
      <c r="G139" s="378">
        <f t="shared" ref="G139:G150" si="62">IF(C139=0, 0,D139*C139)</f>
        <v>164983.728</v>
      </c>
      <c r="H139" s="379">
        <f t="shared" ref="H139:H190" si="63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1"/>
        <v>-93372.971999999994</v>
      </c>
      <c r="G140" s="378">
        <f t="shared" si="62"/>
        <v>172761.372</v>
      </c>
      <c r="H140" s="379">
        <f t="shared" si="63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1"/>
        <v>-91747.44</v>
      </c>
      <c r="G141" s="378">
        <f t="shared" si="62"/>
        <v>168784.32</v>
      </c>
      <c r="H141" s="379">
        <f t="shared" si="63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1"/>
        <v>-80757.467999999993</v>
      </c>
      <c r="G142" s="378">
        <f t="shared" si="62"/>
        <v>159727.26799999998</v>
      </c>
      <c r="H142" s="380">
        <f t="shared" si="63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1"/>
        <v>-72386.955999999976</v>
      </c>
      <c r="G143" s="378">
        <f t="shared" si="62"/>
        <v>164888.61599999998</v>
      </c>
      <c r="H143" s="380">
        <f t="shared" si="63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1"/>
        <v>-62830.615999999987</v>
      </c>
      <c r="G144" s="378">
        <f t="shared" si="62"/>
        <v>164888.61599999998</v>
      </c>
      <c r="H144" s="380">
        <f t="shared" si="63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1"/>
        <v>-66133.584000000003</v>
      </c>
      <c r="G145" s="378">
        <f t="shared" si="62"/>
        <v>164387.60399999999</v>
      </c>
      <c r="H145" s="380">
        <f t="shared" si="63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1"/>
        <v>-61160.576000000008</v>
      </c>
      <c r="G146" s="378">
        <f t="shared" si="62"/>
        <v>164331.93599999999</v>
      </c>
      <c r="H146" s="380">
        <f t="shared" si="63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1"/>
        <v>-58033.889999999992</v>
      </c>
      <c r="G147" s="378">
        <f t="shared" si="62"/>
        <v>164266.99</v>
      </c>
      <c r="H147" s="380">
        <f t="shared" si="63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1"/>
        <v>-56328.439999999988</v>
      </c>
      <c r="G148" s="378">
        <f t="shared" si="62"/>
        <v>148531.07999999999</v>
      </c>
      <c r="H148" s="380">
        <f t="shared" si="63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1"/>
        <v>-57894.720000000016</v>
      </c>
      <c r="G149" s="378">
        <f t="shared" si="62"/>
        <v>163942.26</v>
      </c>
      <c r="H149" s="379">
        <f t="shared" si="63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1"/>
        <v>-58904.104000000007</v>
      </c>
      <c r="G150" s="378">
        <f t="shared" si="62"/>
        <v>167796.78400000001</v>
      </c>
      <c r="H150" s="379">
        <f t="shared" si="63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4">C151*(E151-D151)</f>
        <v>-69928.587000000014</v>
      </c>
      <c r="G151" s="378">
        <f t="shared" ref="G151:G190" si="65">IF(C151=0, 0,D151*C151)</f>
        <v>206559.20699999999</v>
      </c>
      <c r="H151" s="379">
        <f t="shared" si="63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4"/>
        <v>-66302.234199999992</v>
      </c>
      <c r="G152" s="378">
        <f t="shared" si="65"/>
        <v>185059.5742</v>
      </c>
      <c r="H152" s="379">
        <f t="shared" si="63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4"/>
        <v>-59729.712599999977</v>
      </c>
      <c r="G153" s="378">
        <f t="shared" si="65"/>
        <v>167542.63259999998</v>
      </c>
      <c r="H153" s="379">
        <f t="shared" si="63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4"/>
        <v>-65233.308000000005</v>
      </c>
      <c r="G154" s="378">
        <f t="shared" si="65"/>
        <v>188202.64799999999</v>
      </c>
      <c r="H154" s="379">
        <f t="shared" si="63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4"/>
        <v>-64902.603600000009</v>
      </c>
      <c r="G155" s="378">
        <f t="shared" si="65"/>
        <v>167102.28360000002</v>
      </c>
      <c r="H155" s="379">
        <f t="shared" si="63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4"/>
        <v>-66452.265800000008</v>
      </c>
      <c r="G156" s="378">
        <f t="shared" si="65"/>
        <v>168143.46580000001</v>
      </c>
      <c r="H156" s="379">
        <f t="shared" si="63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4"/>
        <v>-64191.270599999982</v>
      </c>
      <c r="G157" s="378">
        <f t="shared" si="65"/>
        <v>167068.4106</v>
      </c>
      <c r="H157" s="379">
        <f t="shared" si="63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4"/>
        <v>-53072.044600000016</v>
      </c>
      <c r="G158" s="378">
        <f t="shared" si="65"/>
        <v>155298.88460000002</v>
      </c>
      <c r="H158" s="379">
        <f t="shared" si="63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4"/>
        <v>-54016.789200000007</v>
      </c>
      <c r="G159" s="378">
        <f t="shared" si="65"/>
        <v>166959.04920000001</v>
      </c>
      <c r="H159" s="379">
        <f t="shared" si="63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4"/>
        <v>-40694.080000000002</v>
      </c>
      <c r="G160" s="378">
        <f t="shared" si="65"/>
        <v>148852.48000000001</v>
      </c>
      <c r="H160" s="379">
        <f t="shared" si="63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4"/>
        <v>-41622.116400000006</v>
      </c>
      <c r="G161" s="378">
        <f t="shared" si="65"/>
        <v>161235.47640000001</v>
      </c>
      <c r="H161" s="379">
        <f t="shared" si="63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4"/>
        <v>-39713.673000000003</v>
      </c>
      <c r="G162" s="378">
        <f t="shared" si="65"/>
        <v>166592.253</v>
      </c>
      <c r="H162" s="379">
        <f t="shared" si="63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4"/>
        <v>-39679.2474</v>
      </c>
      <c r="G163" s="378">
        <f t="shared" si="65"/>
        <v>160002.82739999998</v>
      </c>
      <c r="H163" s="379">
        <f t="shared" si="63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4"/>
        <v>-40600.177800000019</v>
      </c>
      <c r="G164" s="378">
        <f t="shared" si="65"/>
        <v>166510.9578</v>
      </c>
      <c r="H164" s="379">
        <f t="shared" si="63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4"/>
        <v>-37192.92720000002</v>
      </c>
      <c r="G165" s="378">
        <f t="shared" si="65"/>
        <v>159811.00720000002</v>
      </c>
      <c r="H165" s="379">
        <f t="shared" si="63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4"/>
        <v>-28198.487200000018</v>
      </c>
      <c r="G166" s="378">
        <f t="shared" si="65"/>
        <v>159811.00720000002</v>
      </c>
      <c r="H166" s="379">
        <f t="shared" si="63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4"/>
        <v>-32939.072999999997</v>
      </c>
      <c r="G167" s="378">
        <f t="shared" si="65"/>
        <v>166785.81299999999</v>
      </c>
      <c r="H167" s="379">
        <f t="shared" si="63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4"/>
        <v>-27080.606799999998</v>
      </c>
      <c r="G168" s="378">
        <f t="shared" si="65"/>
        <v>159610.92679999999</v>
      </c>
      <c r="H168" s="380">
        <f t="shared" si="63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4"/>
        <v>-23278.161400000005</v>
      </c>
      <c r="G169" s="378">
        <f t="shared" si="65"/>
        <v>159479.6814</v>
      </c>
      <c r="H169" s="380">
        <f t="shared" si="63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4"/>
        <v>-27860.058600000004</v>
      </c>
      <c r="G170" s="378">
        <f t="shared" si="65"/>
        <v>166739.35860000001</v>
      </c>
      <c r="H170" s="380">
        <f t="shared" si="63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4"/>
        <v>-29897.277600000016</v>
      </c>
      <c r="G171" s="378">
        <f t="shared" si="65"/>
        <v>166260.29760000002</v>
      </c>
      <c r="H171" s="380">
        <f t="shared" si="63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4"/>
        <v>-34709.179199999977</v>
      </c>
      <c r="G172" s="378">
        <f t="shared" si="65"/>
        <v>165846.07919999998</v>
      </c>
      <c r="H172" s="380">
        <f t="shared" si="63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4"/>
        <v>-41926.063800000004</v>
      </c>
      <c r="G173" s="378">
        <f t="shared" si="65"/>
        <v>165707.6838</v>
      </c>
      <c r="H173" s="380">
        <f t="shared" si="63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4"/>
        <v>-48426.330400000006</v>
      </c>
      <c r="G174" s="378">
        <f t="shared" si="65"/>
        <v>190547.59040000002</v>
      </c>
      <c r="H174" s="380">
        <f t="shared" si="63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4"/>
        <v>-48374.515200000002</v>
      </c>
      <c r="G175" s="378">
        <f t="shared" si="65"/>
        <v>165187.97520000002</v>
      </c>
      <c r="H175" s="379">
        <f t="shared" si="63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4"/>
        <v>-54432.172800000015</v>
      </c>
      <c r="G176" s="378">
        <f t="shared" si="65"/>
        <v>176588.49280000001</v>
      </c>
      <c r="H176" s="379">
        <f t="shared" si="63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4"/>
        <v>-49378.123800000016</v>
      </c>
      <c r="G177" s="378">
        <f t="shared" si="65"/>
        <v>164933.44380000001</v>
      </c>
      <c r="H177" s="379">
        <f t="shared" si="63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4"/>
        <v>-45614.280400000011</v>
      </c>
      <c r="G178" s="378">
        <f t="shared" si="65"/>
        <v>177274.02040000001</v>
      </c>
      <c r="H178" s="379">
        <f t="shared" si="63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4"/>
        <v>-45519.5052</v>
      </c>
      <c r="G179" s="378">
        <f t="shared" si="65"/>
        <v>164849.2452</v>
      </c>
      <c r="H179" s="379">
        <f t="shared" si="63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4"/>
        <v>-45770.165399999983</v>
      </c>
      <c r="G180" s="378">
        <f t="shared" si="65"/>
        <v>164809.56539999999</v>
      </c>
      <c r="H180" s="379">
        <f t="shared" si="63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4"/>
        <v>-41109.240599999997</v>
      </c>
      <c r="G181" s="378">
        <f t="shared" si="65"/>
        <v>164794.08059999999</v>
      </c>
      <c r="H181" s="379">
        <f t="shared" si="63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4"/>
        <v>-37211.283199999991</v>
      </c>
      <c r="G182" s="378">
        <f t="shared" si="65"/>
        <v>158269.10319999998</v>
      </c>
      <c r="H182" s="379">
        <f t="shared" si="63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4"/>
        <v>-38770.067999999999</v>
      </c>
      <c r="G183" s="378">
        <f t="shared" si="65"/>
        <v>164777.628</v>
      </c>
      <c r="H183" s="379">
        <f t="shared" si="63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4"/>
        <v>-33653.890400000018</v>
      </c>
      <c r="G184" s="378">
        <f t="shared" si="65"/>
        <v>157924.0104</v>
      </c>
      <c r="H184" s="379">
        <f t="shared" si="63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4"/>
        <v>-37103.516399999986</v>
      </c>
      <c r="G185" s="378">
        <f t="shared" si="65"/>
        <v>164562.77639999997</v>
      </c>
      <c r="H185" s="379">
        <f t="shared" si="63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4"/>
        <v>-39676.8966</v>
      </c>
      <c r="G186" s="378">
        <f t="shared" si="65"/>
        <v>164523.09660000002</v>
      </c>
      <c r="H186" s="379">
        <f t="shared" si="63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4"/>
        <v>-35572.456799999993</v>
      </c>
      <c r="G187" s="378">
        <f t="shared" si="65"/>
        <v>164483.41680000001</v>
      </c>
      <c r="H187" s="379">
        <f t="shared" si="63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4"/>
        <v>-29514.401999999984</v>
      </c>
      <c r="G188" s="378">
        <f t="shared" si="65"/>
        <v>143679.28200000001</v>
      </c>
      <c r="H188" s="379">
        <f t="shared" si="63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4"/>
        <v>-24105.848799999996</v>
      </c>
      <c r="G189" s="378">
        <f t="shared" si="65"/>
        <v>136358.20879999999</v>
      </c>
      <c r="H189" s="379">
        <f t="shared" si="63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4"/>
        <v>-24823.50120000001</v>
      </c>
      <c r="G190" s="378">
        <f t="shared" si="65"/>
        <v>143649.8412</v>
      </c>
      <c r="H190" s="379">
        <f t="shared" si="63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6">C191*(E191-D191)</f>
        <v>-33713.287800000006</v>
      </c>
      <c r="G191" s="378">
        <f t="shared" ref="G191:G199" si="67">IF(C191=0, 0,D191*C191)</f>
        <v>154198.0478</v>
      </c>
      <c r="H191" s="379">
        <f t="shared" ref="H191:H199" si="68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6"/>
        <v>-34191.285600000003</v>
      </c>
      <c r="G192" s="378">
        <f t="shared" si="67"/>
        <v>158702.04560000001</v>
      </c>
      <c r="H192" s="379">
        <f t="shared" si="68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6"/>
        <v>-33706.974000000009</v>
      </c>
      <c r="G193" s="378">
        <f t="shared" si="67"/>
        <v>158217.734</v>
      </c>
      <c r="H193" s="379">
        <f t="shared" si="68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6"/>
        <v>-35317.9254</v>
      </c>
      <c r="G194" s="378">
        <f t="shared" si="67"/>
        <v>163357.86540000001</v>
      </c>
      <c r="H194" s="379">
        <f t="shared" si="68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6"/>
        <v>-36815.103999999985</v>
      </c>
      <c r="G195" s="378">
        <f t="shared" si="67"/>
        <v>157985.78399999999</v>
      </c>
      <c r="H195" s="379">
        <f t="shared" si="68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6"/>
        <v>-40329.610399999998</v>
      </c>
      <c r="G196" s="378">
        <f t="shared" si="67"/>
        <v>157881.87039999999</v>
      </c>
      <c r="H196" s="379">
        <f t="shared" si="68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6"/>
        <v>-35684.1158</v>
      </c>
      <c r="G197" s="378">
        <f t="shared" si="67"/>
        <v>157782.59580000001</v>
      </c>
      <c r="H197" s="379">
        <f t="shared" si="68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6"/>
        <v>-23709.664000000008</v>
      </c>
      <c r="G198" s="378">
        <f t="shared" si="67"/>
        <v>134887.10400000002</v>
      </c>
      <c r="H198" s="380">
        <f t="shared" si="68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6"/>
        <v>-19054.279999999995</v>
      </c>
      <c r="G199" s="378">
        <f t="shared" si="67"/>
        <v>121666.28</v>
      </c>
      <c r="H199" s="380">
        <f t="shared" si="68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9">C200*(E200-D200)</f>
        <v>-21366.37</v>
      </c>
      <c r="G200" s="378">
        <f t="shared" ref="G200:G208" si="70">IF(C200=0, 0,D200*C200)</f>
        <v>129041.37</v>
      </c>
      <c r="H200" s="380">
        <f t="shared" ref="H200:H208" si="71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9"/>
        <v>-17585.480000000014</v>
      </c>
      <c r="G201" s="378">
        <f t="shared" si="70"/>
        <v>121421.48000000001</v>
      </c>
      <c r="H201" s="380">
        <f t="shared" si="71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9"/>
        <v>-23433.255999999998</v>
      </c>
      <c r="G202" s="378">
        <f t="shared" si="70"/>
        <v>134073.236</v>
      </c>
      <c r="H202" s="380">
        <f t="shared" si="71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9"/>
        <v>-21154.320000000003</v>
      </c>
      <c r="G203" s="378">
        <f t="shared" si="70"/>
        <v>138785.16</v>
      </c>
      <c r="H203" s="380">
        <f t="shared" si="71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9"/>
        <v>-29477.467400000005</v>
      </c>
      <c r="G204" s="378">
        <f t="shared" si="70"/>
        <v>152116.9474</v>
      </c>
      <c r="H204" s="380">
        <f t="shared" si="71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9"/>
        <v>-29453.938799999982</v>
      </c>
      <c r="G205" s="378">
        <f t="shared" si="70"/>
        <v>156191.41879999998</v>
      </c>
      <c r="H205" s="379">
        <f t="shared" si="71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9"/>
        <v>-19172.503200000017</v>
      </c>
      <c r="G206" s="378">
        <f t="shared" si="70"/>
        <v>140043.3432</v>
      </c>
      <c r="H206" s="379">
        <f t="shared" si="71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9"/>
        <v>-13448.017</v>
      </c>
      <c r="G207" s="378">
        <f t="shared" si="70"/>
        <v>132303.45699999999</v>
      </c>
      <c r="H207" s="379">
        <f t="shared" si="71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9"/>
        <v>-12142.820000000009</v>
      </c>
      <c r="G208" s="378">
        <f t="shared" si="70"/>
        <v>126387.82</v>
      </c>
      <c r="H208" s="379">
        <f t="shared" si="71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2">C209*(E209-D209)</f>
        <v>-11873.480000000014</v>
      </c>
      <c r="G209" s="378">
        <f t="shared" ref="G209:G230" si="73">IF(C209=0, 0,D209*C209)</f>
        <v>118633.48000000001</v>
      </c>
      <c r="H209" s="379">
        <f t="shared" ref="H209:H230" si="74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2"/>
        <v>-11929.199999999995</v>
      </c>
      <c r="G210" s="378">
        <f t="shared" si="73"/>
        <v>106009.2</v>
      </c>
      <c r="H210" s="379">
        <f t="shared" si="74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2"/>
        <v>-18473.284199999991</v>
      </c>
      <c r="G211" s="378">
        <f t="shared" si="73"/>
        <v>138853.4442</v>
      </c>
      <c r="H211" s="379">
        <f t="shared" si="74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2"/>
        <v>-18423.393999999993</v>
      </c>
      <c r="G212" s="378">
        <f t="shared" si="73"/>
        <v>146163.554</v>
      </c>
      <c r="H212" s="379">
        <f t="shared" si="74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2"/>
        <v>-17342.266799999998</v>
      </c>
      <c r="G213" s="378">
        <f t="shared" si="73"/>
        <v>138703.7868</v>
      </c>
      <c r="H213" s="379">
        <f t="shared" si="74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2"/>
        <v>-17312.610000000008</v>
      </c>
      <c r="G214" s="378">
        <f t="shared" si="73"/>
        <v>146094.13</v>
      </c>
      <c r="H214" s="379">
        <f t="shared" si="74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2"/>
        <v>-16618.370000000006</v>
      </c>
      <c r="G215" s="378">
        <f t="shared" si="73"/>
        <v>146094.13</v>
      </c>
      <c r="H215" s="379">
        <f t="shared" si="74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2"/>
        <v>-18614.310000000012</v>
      </c>
      <c r="G216" s="378">
        <f t="shared" si="73"/>
        <v>146094.13</v>
      </c>
      <c r="H216" s="379">
        <f t="shared" si="74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2"/>
        <v>-10717.330000000011</v>
      </c>
      <c r="G217" s="378">
        <f t="shared" si="73"/>
        <v>146094.13</v>
      </c>
      <c r="H217" s="379">
        <f t="shared" si="74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2"/>
        <v>-13335.061799999996</v>
      </c>
      <c r="G218" s="378">
        <f t="shared" si="73"/>
        <v>146939.08179999999</v>
      </c>
      <c r="H218" s="379">
        <f t="shared" si="74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2"/>
        <v>-14034.101799999982</v>
      </c>
      <c r="G219" s="378">
        <f t="shared" si="73"/>
        <v>146939.08179999999</v>
      </c>
      <c r="H219" s="379">
        <f t="shared" si="74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2"/>
        <v>-18125.222999999994</v>
      </c>
      <c r="G220" s="378">
        <f t="shared" si="73"/>
        <v>152910.723</v>
      </c>
      <c r="H220" s="379">
        <f t="shared" si="74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2"/>
        <v>-17204.112599999997</v>
      </c>
      <c r="G221" s="378">
        <f t="shared" si="73"/>
        <v>152812.03260000001</v>
      </c>
      <c r="H221" s="379">
        <f t="shared" si="74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2"/>
        <v>-21007.348200000015</v>
      </c>
      <c r="G222" s="378">
        <f t="shared" si="73"/>
        <v>152777.3082</v>
      </c>
      <c r="H222" s="379">
        <f t="shared" si="74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2"/>
        <v>-23836.109799999987</v>
      </c>
      <c r="G223" s="378">
        <f t="shared" si="73"/>
        <v>154748.68979999999</v>
      </c>
      <c r="H223" s="379">
        <f t="shared" si="74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2"/>
        <v>-28747.721799999992</v>
      </c>
      <c r="G224" s="378">
        <f t="shared" si="73"/>
        <v>157458.96179999999</v>
      </c>
      <c r="H224" s="379">
        <f t="shared" si="74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2"/>
        <v>-26852.387599999998</v>
      </c>
      <c r="G225" s="378">
        <f t="shared" si="73"/>
        <v>154703.22759999998</v>
      </c>
      <c r="H225" s="379">
        <f t="shared" si="74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2"/>
        <v>-32892.451199999996</v>
      </c>
      <c r="G226" s="378">
        <f t="shared" si="73"/>
        <v>157338.5912</v>
      </c>
      <c r="H226" s="379">
        <f t="shared" si="74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2"/>
        <v>-28045.401999999998</v>
      </c>
      <c r="G227" s="378">
        <f t="shared" si="73"/>
        <v>157325.32200000001</v>
      </c>
      <c r="H227" s="380">
        <f t="shared" si="74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2"/>
        <v>-28056.67200000001</v>
      </c>
      <c r="G228" s="378">
        <f t="shared" si="73"/>
        <v>154608.592</v>
      </c>
      <c r="H228" s="380">
        <f t="shared" si="74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2"/>
        <v>-34756.773799999995</v>
      </c>
      <c r="G229" s="378">
        <f t="shared" si="73"/>
        <v>157212.5338</v>
      </c>
      <c r="H229" s="380">
        <f t="shared" si="74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2"/>
        <v>-34901.771399999991</v>
      </c>
      <c r="G230" s="378">
        <f t="shared" si="73"/>
        <v>159747.97140000001</v>
      </c>
      <c r="H230" s="380">
        <f t="shared" si="74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5">C231*(E231-D231)</f>
        <v>-36344.291399999995</v>
      </c>
      <c r="G231" s="378">
        <f t="shared" ref="G231:G246" si="76">IF(C231=0, 0,D231*C231)</f>
        <v>166350.4914</v>
      </c>
      <c r="H231" s="380">
        <f t="shared" ref="H231:H246" si="77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5"/>
        <v>-29806.304399999986</v>
      </c>
      <c r="G232" s="378">
        <f t="shared" si="76"/>
        <v>159588.28439999997</v>
      </c>
      <c r="H232" s="380">
        <f t="shared" si="77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5"/>
        <v>-27362.67760000001</v>
      </c>
      <c r="G233" s="378">
        <f t="shared" si="76"/>
        <v>154100.15760000001</v>
      </c>
      <c r="H233" s="380">
        <f t="shared" si="77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5"/>
        <v>-25413.691800000004</v>
      </c>
      <c r="G234" s="378">
        <f t="shared" si="76"/>
        <v>152157.7518</v>
      </c>
      <c r="H234" s="379">
        <f t="shared" si="77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5"/>
        <v>-18660.303400000012</v>
      </c>
      <c r="G235" s="378">
        <f t="shared" si="76"/>
        <v>145445.88340000002</v>
      </c>
      <c r="H235" s="379">
        <f t="shared" si="77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5"/>
        <v>-16029.133799999994</v>
      </c>
      <c r="G236" s="378">
        <f t="shared" si="76"/>
        <v>145331.33379999999</v>
      </c>
      <c r="H236" s="379">
        <f t="shared" si="77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5"/>
        <v>-13680.976200000003</v>
      </c>
      <c r="G237" s="378">
        <f t="shared" si="76"/>
        <v>137741.23620000001</v>
      </c>
      <c r="H237" s="379">
        <f t="shared" si="77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5"/>
        <v>-9402.4621999999927</v>
      </c>
      <c r="G238" s="378">
        <f t="shared" si="76"/>
        <v>122097.06219999999</v>
      </c>
      <c r="H238" s="379">
        <f t="shared" si="77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5"/>
        <v>-2780.8000000000065</v>
      </c>
      <c r="G239" s="378">
        <f t="shared" si="76"/>
        <v>94520.8</v>
      </c>
      <c r="H239" s="379">
        <f t="shared" si="77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5"/>
        <v>-2111.0000000000005</v>
      </c>
      <c r="G240" s="378">
        <f t="shared" si="76"/>
        <v>86111</v>
      </c>
      <c r="H240" s="379">
        <f t="shared" si="77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5"/>
        <v>-7950.599999999994</v>
      </c>
      <c r="G241" s="378">
        <f t="shared" si="76"/>
        <v>101790.59999999999</v>
      </c>
      <c r="H241" s="379">
        <f t="shared" si="77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5"/>
        <v>-7870.8499999999922</v>
      </c>
      <c r="G242" s="378">
        <f t="shared" si="76"/>
        <v>109530.84999999999</v>
      </c>
      <c r="H242" s="379">
        <f t="shared" si="77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5"/>
        <v>-2961.0000000000055</v>
      </c>
      <c r="G243" s="378">
        <f t="shared" si="76"/>
        <v>101541</v>
      </c>
      <c r="H243" s="379">
        <f t="shared" si="77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5"/>
        <v>-3051.400000000001</v>
      </c>
      <c r="G244" s="378">
        <f t="shared" si="76"/>
        <v>93416.4</v>
      </c>
      <c r="H244" s="379">
        <f t="shared" si="77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5"/>
        <v>-3026.4999999999986</v>
      </c>
      <c r="G245" s="378">
        <f t="shared" si="76"/>
        <v>85176.5</v>
      </c>
      <c r="H245" s="379">
        <f t="shared" si="77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5"/>
        <v>-4876.1226000000042</v>
      </c>
      <c r="G246" s="378">
        <f t="shared" si="76"/>
        <v>88034.802599999995</v>
      </c>
      <c r="H246" s="379">
        <f t="shared" si="77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8">C249*(E249-D249)</f>
        <v>-5163.5724000000046</v>
      </c>
      <c r="G249" s="378">
        <f t="shared" ref="G249:G254" si="79">IF(C249=0, 0,D249*C249)</f>
        <v>103949.79240000001</v>
      </c>
      <c r="H249" s="379">
        <f t="shared" ref="H249:H254" si="80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8"/>
        <v>-7946.8199999999852</v>
      </c>
      <c r="G250" s="378">
        <f t="shared" si="79"/>
        <v>111789.71999999999</v>
      </c>
      <c r="H250" s="380">
        <f t="shared" si="80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8"/>
        <v>-7946.7637999999934</v>
      </c>
      <c r="G251" s="378">
        <f t="shared" si="79"/>
        <v>119564.66379999999</v>
      </c>
      <c r="H251" s="379">
        <f t="shared" si="80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8"/>
        <v>-11864.04560000001</v>
      </c>
      <c r="G252" s="378">
        <f t="shared" si="79"/>
        <v>127187.60560000001</v>
      </c>
      <c r="H252" s="379">
        <f t="shared" si="80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8"/>
        <v>-11894.083199999997</v>
      </c>
      <c r="G253" s="378">
        <f t="shared" si="79"/>
        <v>134727.64319999999</v>
      </c>
      <c r="H253" s="379">
        <f t="shared" si="80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8"/>
        <v>-7970.5317999999861</v>
      </c>
      <c r="G254" s="378">
        <f t="shared" si="79"/>
        <v>126902.75179999998</v>
      </c>
      <c r="H254" s="379">
        <f t="shared" si="80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1">C260*(E260-D260)</f>
        <v>-5839.4414759999936</v>
      </c>
      <c r="G260" s="378">
        <f t="shared" ref="G260:G266" si="82">IF(C260=0, 0,D260*C260)</f>
        <v>126153.70147599999</v>
      </c>
      <c r="H260" s="379">
        <f t="shared" ref="H260:H266" si="83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1"/>
        <v>-7235.2097400000011</v>
      </c>
      <c r="G261" s="378">
        <f t="shared" si="82"/>
        <v>126013.86974000001</v>
      </c>
      <c r="H261" s="379">
        <f t="shared" si="83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1"/>
        <v>-6801.3106039999893</v>
      </c>
      <c r="G262" s="378">
        <f t="shared" si="82"/>
        <v>125579.970604</v>
      </c>
      <c r="H262" s="379">
        <f t="shared" si="83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1"/>
        <v>-15816.44348</v>
      </c>
      <c r="G263" s="378">
        <f t="shared" si="82"/>
        <v>134522.96348000001</v>
      </c>
      <c r="H263" s="380">
        <f t="shared" si="83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1"/>
        <v>-15980.450220000002</v>
      </c>
      <c r="G264" s="378">
        <f t="shared" si="82"/>
        <v>140422.97021999999</v>
      </c>
      <c r="H264" s="380">
        <f t="shared" si="83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1"/>
        <v>-16022.453030000013</v>
      </c>
      <c r="G265" s="378">
        <f t="shared" si="82"/>
        <v>144766.97303000002</v>
      </c>
      <c r="H265" s="380">
        <f t="shared" si="83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1"/>
        <v>-15995.457559999995</v>
      </c>
      <c r="G266" s="378">
        <f t="shared" si="82"/>
        <v>149041.97756</v>
      </c>
      <c r="H266" s="380">
        <f t="shared" si="83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4">C267*(E267-D267)</f>
        <v>-19058.277097999995</v>
      </c>
      <c r="G267" s="378">
        <f t="shared" ref="G267:G274" si="85">IF(C267=0, 0,D267*C267)</f>
        <v>151845.05709799999</v>
      </c>
      <c r="H267" s="380">
        <f t="shared" ref="H267:H274" si="86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4"/>
        <v>-16640.780505999985</v>
      </c>
      <c r="G268" s="378">
        <f t="shared" si="85"/>
        <v>151797.06050599998</v>
      </c>
      <c r="H268" s="380">
        <f t="shared" si="86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4"/>
        <v>-16830.340505999982</v>
      </c>
      <c r="G269" s="378">
        <f t="shared" si="85"/>
        <v>151797.06050599998</v>
      </c>
      <c r="H269" s="380">
        <f t="shared" si="86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4"/>
        <v>-18246.039857999996</v>
      </c>
      <c r="G270" s="378">
        <f t="shared" si="85"/>
        <v>154609.05985799999</v>
      </c>
      <c r="H270" s="379">
        <f t="shared" si="86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4"/>
        <v>-20423.199632000014</v>
      </c>
      <c r="G271" s="378">
        <f t="shared" si="85"/>
        <v>157431.05963200002</v>
      </c>
      <c r="H271" s="379">
        <f t="shared" si="86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4"/>
        <v>-20451.260000000017</v>
      </c>
      <c r="G272" s="378">
        <f t="shared" si="85"/>
        <v>159151.26</v>
      </c>
      <c r="H272" s="379">
        <f t="shared" si="86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4"/>
        <v>-12770.498441999989</v>
      </c>
      <c r="G273" s="378">
        <f t="shared" si="85"/>
        <v>154553.19844199999</v>
      </c>
      <c r="H273" s="379">
        <f t="shared" si="86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4"/>
        <v>-12774.627693999981</v>
      </c>
      <c r="G274" s="378">
        <f t="shared" si="85"/>
        <v>148697.32769399998</v>
      </c>
      <c r="H274" s="379">
        <f t="shared" si="86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7">C275*(E275-D275)</f>
        <v>-10733.467693999992</v>
      </c>
      <c r="G275" s="378">
        <f t="shared" ref="G275:G286" si="88">IF(C275=0, 0,D275*C275)</f>
        <v>148697.32769399998</v>
      </c>
      <c r="H275" s="379">
        <f t="shared" ref="H275:H286" si="89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7"/>
        <v>-14237.112315999999</v>
      </c>
      <c r="G276" s="378">
        <f t="shared" si="88"/>
        <v>151573.33231600001</v>
      </c>
      <c r="H276" s="379">
        <f t="shared" si="89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7"/>
        <v>-14933.404899999989</v>
      </c>
      <c r="G277" s="378">
        <f t="shared" si="88"/>
        <v>148629.38489999998</v>
      </c>
      <c r="H277" s="379">
        <f t="shared" si="89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7"/>
        <v>-14951.241703999996</v>
      </c>
      <c r="G278" s="378">
        <f t="shared" si="88"/>
        <v>151529.221704</v>
      </c>
      <c r="H278" s="379">
        <f t="shared" si="89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7"/>
        <v>-14945.406348000004</v>
      </c>
      <c r="G279" s="378">
        <f t="shared" si="88"/>
        <v>154405.386348</v>
      </c>
      <c r="H279" s="379">
        <f t="shared" si="89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7"/>
        <v>-18303.73</v>
      </c>
      <c r="G280" s="378">
        <f t="shared" si="88"/>
        <v>158903.73000000001</v>
      </c>
      <c r="H280" s="379">
        <f t="shared" si="89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7"/>
        <v>-7311.0640000000021</v>
      </c>
      <c r="G281" s="378">
        <f t="shared" si="88"/>
        <v>148151.10399999999</v>
      </c>
      <c r="H281" s="379">
        <f t="shared" si="89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7"/>
        <v>-7285.3417480000098</v>
      </c>
      <c r="G282" s="378">
        <f t="shared" si="88"/>
        <v>143571.38174800001</v>
      </c>
      <c r="H282" s="379">
        <f t="shared" si="89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7"/>
        <v>-1007.5158000000105</v>
      </c>
      <c r="G283" s="378">
        <f t="shared" si="88"/>
        <v>138987.71580000001</v>
      </c>
      <c r="H283" s="379">
        <f t="shared" si="89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7"/>
        <v>-1091.5898499999998</v>
      </c>
      <c r="G284" s="378">
        <f t="shared" si="88"/>
        <v>127941.78985</v>
      </c>
      <c r="H284" s="379">
        <f t="shared" si="89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7"/>
        <v>-1074.5375999999919</v>
      </c>
      <c r="G285" s="378">
        <f t="shared" si="88"/>
        <v>124522.1376</v>
      </c>
      <c r="H285" s="379">
        <f t="shared" si="89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7"/>
        <v>-975.11200799999187</v>
      </c>
      <c r="G286" s="378">
        <f t="shared" si="88"/>
        <v>131005.31200799999</v>
      </c>
      <c r="H286" s="379">
        <f t="shared" si="89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90">C288*(E288-D288)</f>
        <v>-320.8720079999913</v>
      </c>
      <c r="G288" s="378">
        <f t="shared" ref="G288:G297" si="91">IF(C288=0, 0,D288*C288)</f>
        <v>131005.31200799999</v>
      </c>
      <c r="H288" s="379">
        <f t="shared" ref="H288:H297" si="92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90"/>
        <v>-3298.169357999996</v>
      </c>
      <c r="G289" s="378">
        <f t="shared" si="91"/>
        <v>138935.309358</v>
      </c>
      <c r="H289" s="379">
        <f t="shared" si="92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90"/>
        <v>-3293.1673579999938</v>
      </c>
      <c r="G290" s="378">
        <f t="shared" si="91"/>
        <v>146745.30735799999</v>
      </c>
      <c r="H290" s="379">
        <f t="shared" si="92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90"/>
        <v>1163.524950000012</v>
      </c>
      <c r="G291" s="378">
        <f t="shared" si="91"/>
        <v>130665.83504999999</v>
      </c>
      <c r="H291" s="379">
        <f t="shared" si="92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90"/>
        <v>1293.5203380000021</v>
      </c>
      <c r="G292" s="378">
        <f t="shared" si="91"/>
        <v>122475.839662</v>
      </c>
      <c r="H292" s="379">
        <f t="shared" si="92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90"/>
        <v>1201.2174379999781</v>
      </c>
      <c r="G293" s="378">
        <f t="shared" si="91"/>
        <v>138341.022562</v>
      </c>
      <c r="H293" s="379">
        <f t="shared" si="92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90"/>
        <v>-3368.3391059999908</v>
      </c>
      <c r="G294" s="378">
        <f t="shared" si="91"/>
        <v>143066.01910599999</v>
      </c>
      <c r="H294" s="379">
        <f t="shared" si="92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90"/>
        <v>-3374.3343760000034</v>
      </c>
      <c r="G295" s="378">
        <f t="shared" si="91"/>
        <v>147740.01437600001</v>
      </c>
      <c r="H295" s="379">
        <f t="shared" si="92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90"/>
        <v>-1890.1133999999961</v>
      </c>
      <c r="G296" s="378">
        <f t="shared" si="91"/>
        <v>154028.27340000001</v>
      </c>
      <c r="H296" s="379">
        <f t="shared" si="92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90"/>
        <v>-17012.580000000009</v>
      </c>
      <c r="G297" s="378">
        <f t="shared" si="91"/>
        <v>159012.58000000002</v>
      </c>
      <c r="H297" s="379">
        <f t="shared" si="92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3">C301*(E301-D301)</f>
        <v>-19935.600000000009</v>
      </c>
      <c r="G301" s="378">
        <f t="shared" ref="G301:G308" si="94">IF(C301=0, 0,D301*C301)</f>
        <v>187335.6</v>
      </c>
      <c r="H301" s="380">
        <f t="shared" ref="H301:H308" si="95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3"/>
        <v>-19900.075000000015</v>
      </c>
      <c r="G302" s="378">
        <f t="shared" si="94"/>
        <v>194275.07500000001</v>
      </c>
      <c r="H302" s="380">
        <f t="shared" si="95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3"/>
        <v>-22705.387499999997</v>
      </c>
      <c r="G303" s="378">
        <f t="shared" si="94"/>
        <v>194205.38750000001</v>
      </c>
      <c r="H303" s="380">
        <f t="shared" si="95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3"/>
        <v>-29391.250000000004</v>
      </c>
      <c r="G304" s="378">
        <f t="shared" si="94"/>
        <v>194141.25</v>
      </c>
      <c r="H304" s="380">
        <f t="shared" si="95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3"/>
        <v>-34359.325000000004</v>
      </c>
      <c r="G305" s="378">
        <f t="shared" si="94"/>
        <v>194109.32500000001</v>
      </c>
      <c r="H305" s="379">
        <f t="shared" si="95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3"/>
        <v>-16630.000000000004</v>
      </c>
      <c r="G306" s="378">
        <f t="shared" si="94"/>
        <v>158130</v>
      </c>
      <c r="H306" s="379">
        <f t="shared" si="95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3"/>
        <v>-21229.999999999996</v>
      </c>
      <c r="G307" s="378">
        <f t="shared" si="94"/>
        <v>171820</v>
      </c>
      <c r="H307" s="379">
        <f t="shared" si="95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3"/>
        <v>6109.9988400000047</v>
      </c>
      <c r="G308" s="378">
        <f t="shared" si="94"/>
        <v>118887.84116000001</v>
      </c>
      <c r="H308" s="379">
        <f t="shared" si="95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6">C309*(E309-D309)</f>
        <v>822.70680000000016</v>
      </c>
      <c r="G309" s="378">
        <f t="shared" ref="G309:G326" si="97">IF(C309=0, 0,D309*C309)</f>
        <v>126917.6532</v>
      </c>
      <c r="H309" s="379">
        <f t="shared" ref="H309:H326" si="98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6"/>
        <v>83.308799999990825</v>
      </c>
      <c r="G310" s="378">
        <f t="shared" si="97"/>
        <v>134772.8112</v>
      </c>
      <c r="H310" s="379">
        <f t="shared" si="98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6"/>
        <v>-4985.4834000000074</v>
      </c>
      <c r="G311" s="378">
        <f t="shared" si="97"/>
        <v>139206.5834</v>
      </c>
      <c r="H311" s="379">
        <f t="shared" si="98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6"/>
        <v>18978.923399999992</v>
      </c>
      <c r="G312" s="378">
        <f t="shared" si="97"/>
        <v>74535.756600000008</v>
      </c>
      <c r="H312" s="379">
        <f t="shared" si="98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6"/>
        <v>18638.087600000006</v>
      </c>
      <c r="G313" s="378">
        <f t="shared" si="97"/>
        <v>65051.332399999999</v>
      </c>
      <c r="H313" s="379">
        <f t="shared" si="98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6"/>
        <v>18627.5</v>
      </c>
      <c r="G314" s="378">
        <f t="shared" si="97"/>
        <v>70822.5</v>
      </c>
      <c r="H314" s="379">
        <f t="shared" si="98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6"/>
        <v>20177.499999999996</v>
      </c>
      <c r="G315" s="378">
        <f t="shared" si="97"/>
        <v>70822.5</v>
      </c>
      <c r="H315" s="379">
        <f t="shared" si="98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6"/>
        <v>21382.430000000011</v>
      </c>
      <c r="G316" s="378">
        <f t="shared" si="97"/>
        <v>70717.569999999992</v>
      </c>
      <c r="H316" s="379">
        <f t="shared" si="98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6"/>
        <v>20612.23</v>
      </c>
      <c r="G317" s="378">
        <f t="shared" si="97"/>
        <v>70637.77</v>
      </c>
      <c r="H317" s="379">
        <f t="shared" si="98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6"/>
        <v>22311.999999999993</v>
      </c>
      <c r="G318" s="378">
        <f t="shared" si="97"/>
        <v>70138</v>
      </c>
      <c r="H318" s="379">
        <f t="shared" si="98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6"/>
        <v>20873</v>
      </c>
      <c r="G319" s="378">
        <f t="shared" si="97"/>
        <v>70127</v>
      </c>
      <c r="H319" s="379">
        <f t="shared" si="98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6"/>
        <v>20073</v>
      </c>
      <c r="G320" s="378">
        <f t="shared" si="97"/>
        <v>70127</v>
      </c>
      <c r="H320" s="379">
        <f t="shared" si="98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6"/>
        <v>17654.651999999998</v>
      </c>
      <c r="G321" s="378">
        <f t="shared" si="97"/>
        <v>87765.347999999998</v>
      </c>
      <c r="H321" s="380">
        <f t="shared" si="98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6"/>
        <v>16484.261999999992</v>
      </c>
      <c r="G322" s="378">
        <f t="shared" si="97"/>
        <v>87375.737999999998</v>
      </c>
      <c r="H322" s="380">
        <f t="shared" si="98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6"/>
        <v>20939.061000000002</v>
      </c>
      <c r="G323" s="378">
        <f t="shared" si="97"/>
        <v>78335.938999999998</v>
      </c>
      <c r="H323" s="380">
        <f t="shared" si="98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6"/>
        <v>20604.060000000005</v>
      </c>
      <c r="G324" s="378">
        <f t="shared" si="97"/>
        <v>87275.94</v>
      </c>
      <c r="H324" s="380">
        <f t="shared" si="98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6"/>
        <v>17593.872000000007</v>
      </c>
      <c r="G325" s="378">
        <f t="shared" si="97"/>
        <v>87166.127999999997</v>
      </c>
      <c r="H325" s="380">
        <f t="shared" si="98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6"/>
        <v>16453.871999999999</v>
      </c>
      <c r="G326" s="378">
        <f t="shared" si="97"/>
        <v>87166.127999999997</v>
      </c>
      <c r="H326" s="380">
        <f t="shared" si="98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9">C327*(E327-D327)</f>
        <v>19333.872000000003</v>
      </c>
      <c r="G327" s="378">
        <f t="shared" ref="G327:G341" si="100">IF(C327=0, 0,D327*C327)</f>
        <v>87166.127999999997</v>
      </c>
      <c r="H327" s="380">
        <f t="shared" ref="H327:H341" si="101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9"/>
        <v>19450.98</v>
      </c>
      <c r="G328" s="378">
        <f t="shared" si="100"/>
        <v>87049.02</v>
      </c>
      <c r="H328" s="380">
        <f t="shared" si="101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9"/>
        <v>17423.978999999996</v>
      </c>
      <c r="G329" s="378">
        <f t="shared" si="100"/>
        <v>88777.021000000008</v>
      </c>
      <c r="H329" s="380">
        <f t="shared" si="101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9"/>
        <v>11978.979600000011</v>
      </c>
      <c r="G330" s="378">
        <f t="shared" si="100"/>
        <v>102078.02039999999</v>
      </c>
      <c r="H330" s="380">
        <f t="shared" si="101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9"/>
        <v>13568.870699999996</v>
      </c>
      <c r="G331" s="378">
        <f t="shared" si="100"/>
        <v>102006.1293</v>
      </c>
      <c r="H331" s="380">
        <f t="shared" si="101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9"/>
        <v>12886.949999999995</v>
      </c>
      <c r="G332" s="378">
        <f t="shared" si="100"/>
        <v>86653.05</v>
      </c>
      <c r="H332" s="380">
        <f t="shared" si="101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9"/>
        <v>13051.947999999999</v>
      </c>
      <c r="G333" s="378">
        <f t="shared" si="100"/>
        <v>103078.052</v>
      </c>
      <c r="H333" s="380">
        <f t="shared" si="101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9"/>
        <v>13089.952800000001</v>
      </c>
      <c r="G334" s="378">
        <f t="shared" si="100"/>
        <v>106358.0472</v>
      </c>
      <c r="H334" s="380">
        <f t="shared" si="101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9"/>
        <v>13075.699000000004</v>
      </c>
      <c r="G335" s="378">
        <f t="shared" si="100"/>
        <v>94759.300999999992</v>
      </c>
      <c r="H335" s="380">
        <f t="shared" si="101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9"/>
        <v>13867.271999999995</v>
      </c>
      <c r="G336" s="378">
        <f>IF(C336=0, 0,D336*C336)</f>
        <v>86212.728000000003</v>
      </c>
      <c r="H336" s="380">
        <f t="shared" si="101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9"/>
        <v>17083.611900000004</v>
      </c>
      <c r="G337" s="378">
        <f t="shared" si="100"/>
        <v>74235.388099999996</v>
      </c>
      <c r="H337" s="380">
        <f t="shared" si="101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9"/>
        <v>13252.614000000001</v>
      </c>
      <c r="G338" s="378">
        <f t="shared" si="100"/>
        <v>85867.385999999999</v>
      </c>
      <c r="H338" s="380">
        <f t="shared" si="101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9"/>
        <v>10351.611600000004</v>
      </c>
      <c r="G339" s="378">
        <f t="shared" si="100"/>
        <v>95446.388400000011</v>
      </c>
      <c r="H339" s="380">
        <f t="shared" si="101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9"/>
        <v>12307.2804</v>
      </c>
      <c r="G340" s="378">
        <f t="shared" si="100"/>
        <v>80602.719600000011</v>
      </c>
      <c r="H340" s="380">
        <f t="shared" si="101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9"/>
        <v>11781.900000000011</v>
      </c>
      <c r="G341" s="378">
        <f t="shared" si="100"/>
        <v>80387.100000000006</v>
      </c>
      <c r="H341" s="380">
        <f t="shared" si="101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2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3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2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3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2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3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2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3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2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3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2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3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2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3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2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3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2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3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2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3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2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3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2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3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2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3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2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3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2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3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2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3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2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3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2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3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2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3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2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3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2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3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2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3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2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3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2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3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2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3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2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3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2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3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2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3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2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2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2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4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2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4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2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4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2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4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2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4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2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4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2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4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2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4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2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4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2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4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2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4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2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4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2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4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2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2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2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5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2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5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2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5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2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5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2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5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2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5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2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5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2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5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2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5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2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5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2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5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2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5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2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5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2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5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2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5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2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5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2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5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2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5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2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5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6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5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6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5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6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5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6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5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6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5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6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5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6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5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6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5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6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5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6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5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6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5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6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5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6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5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6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5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6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5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6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5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6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5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6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5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6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5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6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5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6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5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6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5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6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5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6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5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6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5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6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5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6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5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6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5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6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5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6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5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6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5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6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5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6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5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6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5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6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5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6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5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6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5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6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5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6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5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6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5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6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5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6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6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6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6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6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6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6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6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6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6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6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6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6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6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6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6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6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6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6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6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6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6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6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7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7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7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7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7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7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7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7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7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7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7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7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7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7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7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7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8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7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8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7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8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7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8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7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8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7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8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7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8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7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8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7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8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7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8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7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8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7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8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7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8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7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8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7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8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7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8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7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8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7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8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7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8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7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8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7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8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7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8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7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8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7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8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7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8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7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8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7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8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7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8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7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8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7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8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7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8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7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8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7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8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7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8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7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8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7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8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7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8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7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8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7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8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7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8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7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8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7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8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7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8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7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8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7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8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7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8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7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8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7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8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7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8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9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8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9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8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9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8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9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8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9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8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9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8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9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8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9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8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9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8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9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8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9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8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9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8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9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8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9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8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9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8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8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8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10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8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10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8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10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8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10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8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10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8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10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8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10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8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10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8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10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8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10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8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8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1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8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1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8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1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8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1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8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1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8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1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8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1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8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1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8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1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8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1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1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1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1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1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1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1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1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05" priority="108">
      <formula>F97&gt;0</formula>
    </cfRule>
    <cfRule type="expression" dxfId="1004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03" priority="101">
      <formula>F90&gt;0</formula>
    </cfRule>
    <cfRule type="expression" dxfId="1002" priority="102">
      <formula>F90&lt;0</formula>
    </cfRule>
  </conditionalFormatting>
  <conditionalFormatting sqref="H90:H96">
    <cfRule type="expression" dxfId="1001" priority="97">
      <formula>H90&gt;0</formula>
    </cfRule>
    <cfRule type="expression" dxfId="1000" priority="98">
      <formula>H90&lt;0</formula>
    </cfRule>
  </conditionalFormatting>
  <conditionalFormatting sqref="Q8">
    <cfRule type="expression" dxfId="999" priority="83">
      <formula>Q8&gt;0</formula>
    </cfRule>
    <cfRule type="expression" dxfId="998" priority="84">
      <formula>Q8&lt;0</formula>
    </cfRule>
  </conditionalFormatting>
  <conditionalFormatting sqref="Q7">
    <cfRule type="expression" dxfId="997" priority="85">
      <formula>Q7&gt;0</formula>
    </cfRule>
    <cfRule type="expression" dxfId="996" priority="86">
      <formula>Q7&lt;0</formula>
    </cfRule>
  </conditionalFormatting>
  <conditionalFormatting sqref="F198:F204">
    <cfRule type="expression" dxfId="995" priority="57">
      <formula>F198&gt;0</formula>
    </cfRule>
    <cfRule type="expression" dxfId="994" priority="58">
      <formula>F198&lt;0</formula>
    </cfRule>
  </conditionalFormatting>
  <conditionalFormatting sqref="F123:F141 H123:H141">
    <cfRule type="expression" dxfId="993" priority="79">
      <formula>F123&gt;0</formula>
    </cfRule>
    <cfRule type="expression" dxfId="992" priority="80">
      <formula>F123&lt;0</formula>
    </cfRule>
  </conditionalFormatting>
  <conditionalFormatting sqref="F116:F122">
    <cfRule type="expression" dxfId="991" priority="77">
      <formula>F116&gt;0</formula>
    </cfRule>
    <cfRule type="expression" dxfId="990" priority="78">
      <formula>F116&lt;0</formula>
    </cfRule>
  </conditionalFormatting>
  <conditionalFormatting sqref="H116:H122">
    <cfRule type="expression" dxfId="989" priority="75">
      <formula>H116&gt;0</formula>
    </cfRule>
    <cfRule type="expression" dxfId="988" priority="76">
      <formula>H116&lt;0</formula>
    </cfRule>
  </conditionalFormatting>
  <conditionalFormatting sqref="F149:F167 H149:H167">
    <cfRule type="expression" dxfId="987" priority="73">
      <formula>F149&gt;0</formula>
    </cfRule>
    <cfRule type="expression" dxfId="986" priority="74">
      <formula>F149&lt;0</formula>
    </cfRule>
  </conditionalFormatting>
  <conditionalFormatting sqref="F142:F148">
    <cfRule type="expression" dxfId="985" priority="71">
      <formula>F142&gt;0</formula>
    </cfRule>
    <cfRule type="expression" dxfId="984" priority="72">
      <formula>F142&lt;0</formula>
    </cfRule>
  </conditionalFormatting>
  <conditionalFormatting sqref="H142:H148">
    <cfRule type="expression" dxfId="983" priority="69">
      <formula>H142&gt;0</formula>
    </cfRule>
    <cfRule type="expression" dxfId="982" priority="70">
      <formula>H142&lt;0</formula>
    </cfRule>
  </conditionalFormatting>
  <conditionalFormatting sqref="F175:F192 H175:H192">
    <cfRule type="expression" dxfId="981" priority="67">
      <formula>F175&gt;0</formula>
    </cfRule>
    <cfRule type="expression" dxfId="980" priority="68">
      <formula>F175&lt;0</formula>
    </cfRule>
  </conditionalFormatting>
  <conditionalFormatting sqref="F168:F174">
    <cfRule type="expression" dxfId="979" priority="65">
      <formula>F168&gt;0</formula>
    </cfRule>
    <cfRule type="expression" dxfId="978" priority="66">
      <formula>F168&lt;0</formula>
    </cfRule>
  </conditionalFormatting>
  <conditionalFormatting sqref="H168:H174">
    <cfRule type="expression" dxfId="977" priority="63">
      <formula>H168&gt;0</formula>
    </cfRule>
    <cfRule type="expression" dxfId="976" priority="64">
      <formula>H168&lt;0</formula>
    </cfRule>
  </conditionalFormatting>
  <conditionalFormatting sqref="F193:F197 H193:H197">
    <cfRule type="expression" dxfId="975" priority="61">
      <formula>F193&gt;0</formula>
    </cfRule>
    <cfRule type="expression" dxfId="974" priority="62">
      <formula>F193&lt;0</formula>
    </cfRule>
  </conditionalFormatting>
  <conditionalFormatting sqref="F205:F220 H205:H220">
    <cfRule type="expression" dxfId="973" priority="59">
      <formula>F205&gt;0</formula>
    </cfRule>
    <cfRule type="expression" dxfId="972" priority="60">
      <formula>F205&lt;0</formula>
    </cfRule>
  </conditionalFormatting>
  <conditionalFormatting sqref="H198:H204">
    <cfRule type="expression" dxfId="971" priority="55">
      <formula>H198&gt;0</formula>
    </cfRule>
    <cfRule type="expression" dxfId="970" priority="56">
      <formula>H198&lt;0</formula>
    </cfRule>
  </conditionalFormatting>
  <conditionalFormatting sqref="F221 H221">
    <cfRule type="expression" dxfId="969" priority="53">
      <formula>F221&gt;0</formula>
    </cfRule>
    <cfRule type="expression" dxfId="968" priority="54">
      <formula>F221&lt;0</formula>
    </cfRule>
  </conditionalFormatting>
  <conditionalFormatting sqref="F222:F226 H222:H226">
    <cfRule type="expression" dxfId="967" priority="51">
      <formula>F222&gt;0</formula>
    </cfRule>
    <cfRule type="expression" dxfId="966" priority="52">
      <formula>F222&lt;0</formula>
    </cfRule>
  </conditionalFormatting>
  <conditionalFormatting sqref="F234:F249 H234:H249">
    <cfRule type="expression" dxfId="965" priority="49">
      <formula>F234&gt;0</formula>
    </cfRule>
    <cfRule type="expression" dxfId="964" priority="50">
      <formula>F234&lt;0</formula>
    </cfRule>
  </conditionalFormatting>
  <conditionalFormatting sqref="F227:F233">
    <cfRule type="expression" dxfId="963" priority="47">
      <formula>F227&gt;0</formula>
    </cfRule>
    <cfRule type="expression" dxfId="962" priority="48">
      <formula>F227&lt;0</formula>
    </cfRule>
  </conditionalFormatting>
  <conditionalFormatting sqref="H227:H233">
    <cfRule type="expression" dxfId="961" priority="45">
      <formula>H227&gt;0</formula>
    </cfRule>
    <cfRule type="expression" dxfId="960" priority="46">
      <formula>H227&lt;0</formula>
    </cfRule>
  </conditionalFormatting>
  <conditionalFormatting sqref="F251:F256 H251:H256">
    <cfRule type="expression" dxfId="959" priority="43">
      <formula>F251&gt;0</formula>
    </cfRule>
    <cfRule type="expression" dxfId="958" priority="44">
      <formula>F251&lt;0</formula>
    </cfRule>
  </conditionalFormatting>
  <conditionalFormatting sqref="F257 H257">
    <cfRule type="expression" dxfId="957" priority="41">
      <formula>F257&gt;0</formula>
    </cfRule>
    <cfRule type="expression" dxfId="956" priority="42">
      <formula>F257&lt;0</formula>
    </cfRule>
  </conditionalFormatting>
  <conditionalFormatting sqref="F258:F262 H258:H262">
    <cfRule type="expression" dxfId="955" priority="39">
      <formula>F258&gt;0</formula>
    </cfRule>
    <cfRule type="expression" dxfId="954" priority="40">
      <formula>F258&lt;0</formula>
    </cfRule>
  </conditionalFormatting>
  <conditionalFormatting sqref="F270:F285 H270:H285">
    <cfRule type="expression" dxfId="953" priority="37">
      <formula>F270&gt;0</formula>
    </cfRule>
    <cfRule type="expression" dxfId="952" priority="38">
      <formula>F270&lt;0</formula>
    </cfRule>
  </conditionalFormatting>
  <conditionalFormatting sqref="F263:F269">
    <cfRule type="expression" dxfId="951" priority="35">
      <formula>F263&gt;0</formula>
    </cfRule>
    <cfRule type="expression" dxfId="950" priority="36">
      <formula>F263&lt;0</formula>
    </cfRule>
  </conditionalFormatting>
  <conditionalFormatting sqref="H263:H269">
    <cfRule type="expression" dxfId="949" priority="33">
      <formula>H263&gt;0</formula>
    </cfRule>
    <cfRule type="expression" dxfId="948" priority="34">
      <formula>H263&lt;0</formula>
    </cfRule>
  </conditionalFormatting>
  <conditionalFormatting sqref="F286:F291 H286:H291">
    <cfRule type="expression" dxfId="947" priority="31">
      <formula>F286&gt;0</formula>
    </cfRule>
    <cfRule type="expression" dxfId="946" priority="32">
      <formula>F286&lt;0</formula>
    </cfRule>
  </conditionalFormatting>
  <conditionalFormatting sqref="F292 H292">
    <cfRule type="expression" dxfId="945" priority="29">
      <formula>F292&gt;0</formula>
    </cfRule>
    <cfRule type="expression" dxfId="944" priority="30">
      <formula>F292&lt;0</formula>
    </cfRule>
  </conditionalFormatting>
  <conditionalFormatting sqref="F293:F297 H293:H297">
    <cfRule type="expression" dxfId="943" priority="27">
      <formula>F293&gt;0</formula>
    </cfRule>
    <cfRule type="expression" dxfId="942" priority="28">
      <formula>F293&lt;0</formula>
    </cfRule>
  </conditionalFormatting>
  <conditionalFormatting sqref="F305:F320 H305:H320">
    <cfRule type="expression" dxfId="941" priority="25">
      <formula>F305&gt;0</formula>
    </cfRule>
    <cfRule type="expression" dxfId="940" priority="26">
      <formula>F305&lt;0</formula>
    </cfRule>
  </conditionalFormatting>
  <conditionalFormatting sqref="F298:F304">
    <cfRule type="expression" dxfId="939" priority="23">
      <formula>F298&gt;0</formula>
    </cfRule>
    <cfRule type="expression" dxfId="938" priority="24">
      <formula>F298&lt;0</formula>
    </cfRule>
  </conditionalFormatting>
  <conditionalFormatting sqref="H298:H304">
    <cfRule type="expression" dxfId="937" priority="21">
      <formula>H298&gt;0</formula>
    </cfRule>
    <cfRule type="expression" dxfId="936" priority="22">
      <formula>H298&lt;0</formula>
    </cfRule>
  </conditionalFormatting>
  <conditionalFormatting sqref="M349">
    <cfRule type="expression" dxfId="935" priority="19">
      <formula>M349&gt;0</formula>
    </cfRule>
    <cfRule type="expression" dxfId="934" priority="20">
      <formula>M349&lt;0</formula>
    </cfRule>
  </conditionalFormatting>
  <conditionalFormatting sqref="F72:F86 H72:H86">
    <cfRule type="expression" dxfId="933" priority="17">
      <formula>F72&gt;0</formula>
    </cfRule>
    <cfRule type="expression" dxfId="932" priority="18">
      <formula>F72&lt;0</formula>
    </cfRule>
  </conditionalFormatting>
  <conditionalFormatting sqref="F60:F71">
    <cfRule type="expression" dxfId="931" priority="15">
      <formula>F60&gt;0</formula>
    </cfRule>
    <cfRule type="expression" dxfId="930" priority="16">
      <formula>F60&lt;0</formula>
    </cfRule>
  </conditionalFormatting>
  <conditionalFormatting sqref="H60:H71">
    <cfRule type="expression" dxfId="929" priority="13">
      <formula>H60&gt;0</formula>
    </cfRule>
    <cfRule type="expression" dxfId="928" priority="14">
      <formula>H60&lt;0</formula>
    </cfRule>
  </conditionalFormatting>
  <conditionalFormatting sqref="F54:F59 H54:H59">
    <cfRule type="expression" dxfId="927" priority="11">
      <formula>F54&gt;0</formula>
    </cfRule>
    <cfRule type="expression" dxfId="926" priority="12">
      <formula>F54&lt;0</formula>
    </cfRule>
  </conditionalFormatting>
  <conditionalFormatting sqref="J56:K56">
    <cfRule type="expression" dxfId="925" priority="9">
      <formula>J56&gt;0</formula>
    </cfRule>
    <cfRule type="expression" dxfId="924" priority="10">
      <formula>J56&lt;0</formula>
    </cfRule>
  </conditionalFormatting>
  <conditionalFormatting sqref="J57:K63 K62:K86">
    <cfRule type="expression" dxfId="923" priority="7">
      <formula>J57&gt;0</formula>
    </cfRule>
    <cfRule type="expression" dxfId="922" priority="8">
      <formula>J57&lt;0</formula>
    </cfRule>
  </conditionalFormatting>
  <conditionalFormatting sqref="L56:L86">
    <cfRule type="expression" dxfId="921" priority="3">
      <formula>L56&gt;0</formula>
    </cfRule>
    <cfRule type="expression" dxfId="920" priority="4">
      <formula>L56&lt;0</formula>
    </cfRule>
  </conditionalFormatting>
  <conditionalFormatting sqref="Q10">
    <cfRule type="expression" dxfId="919" priority="1">
      <formula>Q10&gt;0</formula>
    </cfRule>
    <cfRule type="expression" dxfId="918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31.859253333333331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 t="s">
        <v>535</v>
      </c>
      <c r="M4" s="3"/>
      <c r="N4" s="4"/>
      <c r="O4" s="11" t="s">
        <v>66</v>
      </c>
      <c r="Q4" s="491">
        <v>30.25</v>
      </c>
      <c r="R4" s="498">
        <v>1.5800000000000002E-2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45375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47788.88</v>
      </c>
      <c r="T6" t="s">
        <v>562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-665.91000000000349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-2413.8799999999974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-5.0511332343423775E-2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753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697" t="s">
        <v>78</v>
      </c>
      <c r="P40" s="697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33.275000000000006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L42" s="40"/>
      <c r="O42" s="82">
        <v>1.0900000000000001</v>
      </c>
      <c r="P42" s="82">
        <f t="shared" ref="P42:P61" si="9">O42*$Q$4</f>
        <v>32.972500000000004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32.67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32.3675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32.065000000000005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31.762500000000003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31.46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31.157500000000002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30.855</v>
      </c>
      <c r="Q49" s="2"/>
      <c r="T49" s="92" t="s">
        <v>103</v>
      </c>
      <c r="U49" s="87" t="s">
        <v>550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30.552500000000002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L51" s="40"/>
      <c r="O51" s="82">
        <v>1</v>
      </c>
      <c r="P51" s="82">
        <f t="shared" si="9"/>
        <v>30.25</v>
      </c>
      <c r="Q51" s="2"/>
      <c r="T51" s="92" t="s">
        <v>104</v>
      </c>
      <c r="U51" s="87" t="s">
        <v>655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L52" s="40"/>
      <c r="O52" s="82">
        <v>0.99</v>
      </c>
      <c r="P52" s="82">
        <f t="shared" si="9"/>
        <v>29.947499999999998</v>
      </c>
      <c r="Q52" s="2"/>
      <c r="T52" s="92" t="s">
        <v>105</v>
      </c>
      <c r="U52" s="87" t="s">
        <v>656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29.645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29.342499999999998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29.04</v>
      </c>
      <c r="T55" s="92" t="s">
        <v>107</v>
      </c>
      <c r="U55" s="87" t="s">
        <v>657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28.737499999999997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28.434999999999999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28.1325</v>
      </c>
      <c r="T58" s="92" t="s">
        <v>108</v>
      </c>
      <c r="U58" s="87" t="s">
        <v>589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27.830000000000002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27.5275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27.225000000000001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5">C65*(E65-D65)</f>
        <v>-33.800000000000097</v>
      </c>
      <c r="G65" s="378">
        <f t="shared" ref="G65:G78" si="36">D65*C65</f>
        <v>3591.7999999999997</v>
      </c>
      <c r="H65" s="379">
        <f t="shared" ref="H65:H78" si="37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5"/>
        <v>85.200000000000387</v>
      </c>
      <c r="G66" s="378">
        <f t="shared" si="36"/>
        <v>3591.7999999999997</v>
      </c>
      <c r="H66" s="379">
        <f t="shared" si="37"/>
        <v>2.3720697143493622E-2</v>
      </c>
      <c r="I66" s="378"/>
      <c r="O66" s="11" t="s">
        <v>755</v>
      </c>
      <c r="S66" s="23" t="s">
        <v>754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5"/>
        <v>-136.80000000000021</v>
      </c>
      <c r="G67" s="378">
        <f t="shared" si="36"/>
        <v>3591.7999999999997</v>
      </c>
      <c r="H67" s="379">
        <f t="shared" si="37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5"/>
        <v>-147.56000000000029</v>
      </c>
      <c r="G68" s="378">
        <f t="shared" si="36"/>
        <v>4959.3599999999997</v>
      </c>
      <c r="H68" s="379">
        <f t="shared" si="37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5"/>
        <v>-49.199999999999591</v>
      </c>
      <c r="G69" s="378">
        <f t="shared" si="36"/>
        <v>8408.4</v>
      </c>
      <c r="H69" s="379">
        <f t="shared" si="37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5"/>
        <v>109.60000000000036</v>
      </c>
      <c r="G70" s="378">
        <f t="shared" si="36"/>
        <v>6994.4000000000005</v>
      </c>
      <c r="H70" s="379">
        <f t="shared" si="37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5"/>
        <v>-6.4000000000007162</v>
      </c>
      <c r="G71" s="378">
        <f t="shared" si="36"/>
        <v>6994.4000000000005</v>
      </c>
      <c r="H71" s="379">
        <f t="shared" si="37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5"/>
        <v>166.71999999999912</v>
      </c>
      <c r="G72" s="378">
        <f t="shared" si="36"/>
        <v>5554.880000000001</v>
      </c>
      <c r="H72" s="379">
        <f t="shared" si="37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5"/>
        <v>218.88000000000034</v>
      </c>
      <c r="G73" s="378">
        <f t="shared" si="36"/>
        <v>5544.32</v>
      </c>
      <c r="H73" s="379">
        <f t="shared" si="37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5"/>
        <v>298.88000000000034</v>
      </c>
      <c r="G74" s="378">
        <f t="shared" si="36"/>
        <v>5544.32</v>
      </c>
      <c r="H74" s="379">
        <f t="shared" si="37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5"/>
        <v>363.18000000000006</v>
      </c>
      <c r="G75" s="378">
        <f t="shared" si="36"/>
        <v>1845.42</v>
      </c>
      <c r="H75" s="379">
        <f t="shared" si="37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5"/>
        <v>329.12000000000035</v>
      </c>
      <c r="G76" s="378">
        <f t="shared" si="36"/>
        <v>5384.48</v>
      </c>
      <c r="H76" s="379">
        <f t="shared" si="37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5"/>
        <v>169.60000000000036</v>
      </c>
      <c r="G77" s="378">
        <f t="shared" si="36"/>
        <v>5384</v>
      </c>
      <c r="H77" s="379">
        <f t="shared" si="37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5"/>
        <v>474.7199999999998</v>
      </c>
      <c r="G78" s="378">
        <f t="shared" si="36"/>
        <v>5384.48</v>
      </c>
      <c r="H78" s="379">
        <f t="shared" si="37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8">C79*(E79-D79)</f>
        <v>588.31999999999994</v>
      </c>
      <c r="G79" s="378">
        <f t="shared" ref="G79:G92" si="39">D79*C79</f>
        <v>5384.48</v>
      </c>
      <c r="H79" s="379">
        <f t="shared" ref="H79:H121" si="40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8"/>
        <v>673.12000000000012</v>
      </c>
      <c r="G80" s="378">
        <f t="shared" si="39"/>
        <v>5384.48</v>
      </c>
      <c r="H80" s="379">
        <f t="shared" si="40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8"/>
        <v>597.9200000000003</v>
      </c>
      <c r="G81" s="378">
        <f t="shared" si="39"/>
        <v>5384.48</v>
      </c>
      <c r="H81" s="379">
        <f t="shared" si="40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8"/>
        <v>489.12000000000035</v>
      </c>
      <c r="G82" s="378">
        <f t="shared" si="39"/>
        <v>5384.48</v>
      </c>
      <c r="H82" s="379">
        <f t="shared" si="40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8"/>
        <v>409.12000000000035</v>
      </c>
      <c r="G83" s="378">
        <f t="shared" si="39"/>
        <v>5384.48</v>
      </c>
      <c r="H83" s="379">
        <f t="shared" si="40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8"/>
        <v>439.52</v>
      </c>
      <c r="G84" s="378">
        <f t="shared" si="39"/>
        <v>5384.48</v>
      </c>
      <c r="H84" s="379">
        <f t="shared" si="40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8"/>
        <v>369.12000000000035</v>
      </c>
      <c r="G85" s="378">
        <f t="shared" si="39"/>
        <v>5384.48</v>
      </c>
      <c r="H85" s="379">
        <f t="shared" si="40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8"/>
        <v>341.92000000000007</v>
      </c>
      <c r="G86" s="378">
        <f t="shared" si="39"/>
        <v>5384.48</v>
      </c>
      <c r="H86" s="379">
        <f t="shared" si="40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8"/>
        <v>442.72000000000048</v>
      </c>
      <c r="G87" s="378">
        <f t="shared" si="39"/>
        <v>5384.48</v>
      </c>
      <c r="H87" s="379">
        <f t="shared" si="40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8"/>
        <v>90.619999999999621</v>
      </c>
      <c r="G88" s="378">
        <f t="shared" si="39"/>
        <v>7821.38</v>
      </c>
      <c r="H88" s="379">
        <f t="shared" si="40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8"/>
        <v>51.480000000000103</v>
      </c>
      <c r="G89" s="378">
        <f t="shared" si="39"/>
        <v>8837.92</v>
      </c>
      <c r="H89" s="379">
        <f t="shared" si="40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8"/>
        <v>-376.80000000000007</v>
      </c>
      <c r="G90" s="378">
        <f t="shared" si="39"/>
        <v>10159.799999999999</v>
      </c>
      <c r="H90" s="379">
        <f t="shared" si="40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8"/>
        <v>-388.00000000000239</v>
      </c>
      <c r="G91" s="378">
        <f t="shared" si="39"/>
        <v>13408.000000000002</v>
      </c>
      <c r="H91" s="379">
        <f t="shared" si="40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8"/>
        <v>-262.9400000000004</v>
      </c>
      <c r="G92" s="378">
        <f t="shared" si="39"/>
        <v>13354.939999999999</v>
      </c>
      <c r="H92" s="379">
        <f t="shared" si="40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8"/>
        <v>-514.93999999999858</v>
      </c>
      <c r="G93" s="378">
        <f t="shared" ref="G93:G98" si="41">D93*C93</f>
        <v>13354.939999999999</v>
      </c>
      <c r="H93" s="379">
        <f t="shared" si="40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8"/>
        <v>-582.93999999999892</v>
      </c>
      <c r="G94" s="378">
        <f t="shared" si="41"/>
        <v>16522.939999999999</v>
      </c>
      <c r="H94" s="379">
        <f t="shared" si="40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8"/>
        <v>-292.93999999999801</v>
      </c>
      <c r="G95" s="378">
        <f t="shared" si="41"/>
        <v>16522.939999999999</v>
      </c>
      <c r="H95" s="379">
        <f t="shared" si="40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8"/>
        <v>-217.93999999999869</v>
      </c>
      <c r="G96" s="378">
        <f t="shared" si="41"/>
        <v>16522.939999999999</v>
      </c>
      <c r="H96" s="379">
        <f t="shared" si="40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8"/>
        <v>-92.93999999999869</v>
      </c>
      <c r="G97" s="378">
        <f t="shared" si="41"/>
        <v>16522.939999999999</v>
      </c>
      <c r="H97" s="379">
        <f t="shared" si="40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8"/>
        <v>-397.93999999999841</v>
      </c>
      <c r="G98" s="378">
        <f t="shared" si="41"/>
        <v>16522.939999999999</v>
      </c>
      <c r="H98" s="379">
        <f t="shared" si="40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8"/>
        <v>-27.939999999997411</v>
      </c>
      <c r="G99" s="378">
        <f t="shared" ref="G99:G121" si="42">D99*C99</f>
        <v>16522.939999999999</v>
      </c>
      <c r="H99" s="379">
        <f t="shared" si="40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8"/>
        <v>-142.9399999999994</v>
      </c>
      <c r="G100" s="378">
        <f t="shared" si="42"/>
        <v>16522.939999999999</v>
      </c>
      <c r="H100" s="379">
        <f t="shared" si="40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8"/>
        <v>-357.93999999999926</v>
      </c>
      <c r="G101" s="378">
        <f t="shared" si="42"/>
        <v>16522.939999999999</v>
      </c>
      <c r="H101" s="379">
        <f t="shared" si="40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8"/>
        <v>-442.94000000000011</v>
      </c>
      <c r="G102" s="378">
        <f t="shared" si="42"/>
        <v>16522.939999999999</v>
      </c>
      <c r="H102" s="379">
        <f t="shared" si="40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8"/>
        <v>-542.93999999999801</v>
      </c>
      <c r="G103" s="378">
        <f t="shared" si="42"/>
        <v>16522.939999999999</v>
      </c>
      <c r="H103" s="379">
        <f t="shared" si="40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8"/>
        <v>-224.94000000000014</v>
      </c>
      <c r="G104" s="378">
        <f t="shared" si="42"/>
        <v>16474.939999999999</v>
      </c>
      <c r="H104" s="379">
        <f t="shared" si="40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8"/>
        <v>-139.93999999999929</v>
      </c>
      <c r="G105" s="378">
        <f t="shared" si="42"/>
        <v>16474.939999999999</v>
      </c>
      <c r="H105" s="379">
        <f t="shared" si="40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8"/>
        <v>-847.93799999999919</v>
      </c>
      <c r="G106" s="378">
        <f t="shared" si="42"/>
        <v>19639.937999999998</v>
      </c>
      <c r="H106" s="379">
        <f t="shared" si="40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8"/>
        <v>-833.93799999999771</v>
      </c>
      <c r="G107" s="378">
        <f t="shared" si="42"/>
        <v>22757.937999999998</v>
      </c>
      <c r="H107" s="379">
        <f t="shared" si="40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8"/>
        <v>-840.93799999999885</v>
      </c>
      <c r="G108" s="378">
        <f t="shared" si="42"/>
        <v>22757.937999999998</v>
      </c>
      <c r="H108" s="379">
        <f t="shared" si="40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8"/>
        <v>-700.9379999999968</v>
      </c>
      <c r="G109" s="378">
        <f t="shared" si="42"/>
        <v>22757.937999999998</v>
      </c>
      <c r="H109" s="379">
        <f t="shared" si="40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8"/>
        <v>-1125.9439999999984</v>
      </c>
      <c r="G110" s="378">
        <f t="shared" si="42"/>
        <v>25837.944</v>
      </c>
      <c r="H110" s="379">
        <f t="shared" si="40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8"/>
        <v>-1205.9439999999995</v>
      </c>
      <c r="G111" s="378">
        <f t="shared" si="42"/>
        <v>25837.944</v>
      </c>
      <c r="H111" s="379">
        <f t="shared" si="40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8"/>
        <v>-965.94399999999894</v>
      </c>
      <c r="G112" s="378">
        <f t="shared" si="42"/>
        <v>25837.944</v>
      </c>
      <c r="H112" s="379">
        <f t="shared" si="40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8"/>
        <v>-1477.9439999999995</v>
      </c>
      <c r="G113" s="378">
        <f t="shared" si="42"/>
        <v>25837.944</v>
      </c>
      <c r="H113" s="379">
        <f t="shared" si="40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8"/>
        <v>-1773.936000000002</v>
      </c>
      <c r="G114" s="378">
        <f t="shared" si="42"/>
        <v>28845.936000000002</v>
      </c>
      <c r="H114" s="379">
        <f t="shared" si="40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8"/>
        <v>-1935.9360000000017</v>
      </c>
      <c r="G115" s="378">
        <f t="shared" si="42"/>
        <v>28845.936000000002</v>
      </c>
      <c r="H115" s="379">
        <f t="shared" si="40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8"/>
        <v>-1989.9360000000006</v>
      </c>
      <c r="G116" s="378">
        <f t="shared" si="42"/>
        <v>28845.936000000002</v>
      </c>
      <c r="H116" s="379">
        <f t="shared" si="40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8"/>
        <v>-2133.9360000000006</v>
      </c>
      <c r="G117" s="378">
        <f t="shared" si="42"/>
        <v>28845.936000000002</v>
      </c>
      <c r="H117" s="379">
        <f t="shared" si="40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8"/>
        <v>-2505.9399999999991</v>
      </c>
      <c r="G118" s="378">
        <f t="shared" si="42"/>
        <v>31785.94</v>
      </c>
      <c r="H118" s="379">
        <f t="shared" si="40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8"/>
        <v>-2945.94</v>
      </c>
      <c r="G119" s="378">
        <f t="shared" si="42"/>
        <v>31785.94</v>
      </c>
      <c r="H119" s="379">
        <f t="shared" si="40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8"/>
        <v>-2415.9399999999991</v>
      </c>
      <c r="G120" s="378">
        <f t="shared" si="42"/>
        <v>31785.94</v>
      </c>
      <c r="H120" s="379">
        <f t="shared" si="40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8"/>
        <v>-2785.94</v>
      </c>
      <c r="G121" s="378">
        <f t="shared" si="42"/>
        <v>31785.94</v>
      </c>
      <c r="H121" s="379">
        <f t="shared" si="40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3">C122*(E122-D122)</f>
        <v>-1145.9399999999996</v>
      </c>
      <c r="G122" s="378">
        <f t="shared" ref="G122:G127" si="44">D122*C122</f>
        <v>31785.94</v>
      </c>
      <c r="H122" s="379">
        <f t="shared" ref="H122:H127" si="45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3"/>
        <v>-520.01099999999701</v>
      </c>
      <c r="G123" s="378">
        <f t="shared" si="44"/>
        <v>28654.010999999999</v>
      </c>
      <c r="H123" s="379">
        <f t="shared" si="45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3"/>
        <v>-783.99999999999886</v>
      </c>
      <c r="G124" s="378">
        <f t="shared" si="44"/>
        <v>31764</v>
      </c>
      <c r="H124" s="379">
        <f t="shared" si="45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3"/>
        <v>350.64000000000027</v>
      </c>
      <c r="G125" s="378">
        <f t="shared" si="44"/>
        <v>15759.359999999999</v>
      </c>
      <c r="H125" s="379">
        <f t="shared" si="45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3"/>
        <v>-398.86400000000037</v>
      </c>
      <c r="G126" s="378">
        <f t="shared" si="44"/>
        <v>25214.864000000001</v>
      </c>
      <c r="H126" s="379">
        <f t="shared" si="45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3"/>
        <v>1280.8600000000013</v>
      </c>
      <c r="G127" s="378">
        <f t="shared" si="44"/>
        <v>12271.14</v>
      </c>
      <c r="H127" s="379">
        <f t="shared" si="45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6">C128*(E128-D128)</f>
        <v>648.8599999999991</v>
      </c>
      <c r="G128" s="378">
        <f t="shared" ref="G128:G134" si="47">D128*C128</f>
        <v>12271.14</v>
      </c>
      <c r="H128" s="379">
        <f t="shared" ref="H128:H134" si="48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6"/>
        <v>1108.8599999999985</v>
      </c>
      <c r="G129" s="378">
        <f t="shared" si="47"/>
        <v>12211.14</v>
      </c>
      <c r="H129" s="379">
        <f t="shared" si="48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6"/>
        <v>1467.7889999999991</v>
      </c>
      <c r="G130" s="378">
        <f t="shared" si="47"/>
        <v>8789.2109999999993</v>
      </c>
      <c r="H130" s="379">
        <f t="shared" si="48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6"/>
        <v>1645.7100000000005</v>
      </c>
      <c r="G131" s="378">
        <f t="shared" si="47"/>
        <v>5310.29</v>
      </c>
      <c r="H131" s="379">
        <f t="shared" si="48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6"/>
        <v>1537.7099999999996</v>
      </c>
      <c r="G132" s="378">
        <f t="shared" si="47"/>
        <v>8728.2900000000009</v>
      </c>
      <c r="H132" s="379">
        <f t="shared" si="48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6"/>
        <v>1754.0499999999997</v>
      </c>
      <c r="G133" s="378">
        <f t="shared" si="47"/>
        <v>1717.95</v>
      </c>
      <c r="H133" s="379">
        <f t="shared" si="48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6"/>
        <v>1742.0399999999997</v>
      </c>
      <c r="G134" s="378">
        <f t="shared" si="47"/>
        <v>8673.9599999999991</v>
      </c>
      <c r="H134" s="379">
        <f t="shared" si="48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9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9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9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0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9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0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9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0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9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0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9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0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9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0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9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0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9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0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9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0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9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0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9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0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9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0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9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0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9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0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9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0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9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0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9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9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9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17" priority="49">
      <formula>F69&gt;0</formula>
    </cfRule>
    <cfRule type="expression" dxfId="916" priority="50">
      <formula>F69&lt;0</formula>
    </cfRule>
  </conditionalFormatting>
  <conditionalFormatting sqref="F74:F87 F90:F134 F137:F138">
    <cfRule type="expression" dxfId="915" priority="45">
      <formula>F74&gt;0</formula>
    </cfRule>
    <cfRule type="expression" dxfId="914" priority="46">
      <formula>F74&lt;0</formula>
    </cfRule>
  </conditionalFormatting>
  <conditionalFormatting sqref="F74:F87 F90:F134 F137:F138">
    <cfRule type="expression" dxfId="913" priority="47">
      <formula>F74&gt;0</formula>
    </cfRule>
    <cfRule type="expression" dxfId="912" priority="48">
      <formula>F74&lt;0</formula>
    </cfRule>
  </conditionalFormatting>
  <conditionalFormatting sqref="H69:H87 H90:H134 H137:H138">
    <cfRule type="expression" dxfId="911" priority="43">
      <formula>H69&gt;0</formula>
    </cfRule>
    <cfRule type="expression" dxfId="910" priority="44">
      <formula>H69&lt;0</formula>
    </cfRule>
  </conditionalFormatting>
  <conditionalFormatting sqref="F65:F68">
    <cfRule type="expression" dxfId="909" priority="37">
      <formula>F65&gt;0</formula>
    </cfRule>
    <cfRule type="expression" dxfId="908" priority="38">
      <formula>F65&lt;0</formula>
    </cfRule>
  </conditionalFormatting>
  <conditionalFormatting sqref="H65:H68">
    <cfRule type="expression" dxfId="907" priority="35">
      <formula>H65&gt;0</formula>
    </cfRule>
    <cfRule type="expression" dxfId="906" priority="36">
      <formula>H65&lt;0</formula>
    </cfRule>
  </conditionalFormatting>
  <conditionalFormatting sqref="Q8">
    <cfRule type="expression" dxfId="905" priority="31">
      <formula>Q8&gt;0</formula>
    </cfRule>
    <cfRule type="expression" dxfId="904" priority="32">
      <formula>Q8&lt;0</formula>
    </cfRule>
  </conditionalFormatting>
  <conditionalFormatting sqref="Q7">
    <cfRule type="expression" dxfId="903" priority="33">
      <formula>Q7&gt;0</formula>
    </cfRule>
    <cfRule type="expression" dxfId="902" priority="34">
      <formula>Q7&lt;0</formula>
    </cfRule>
  </conditionalFormatting>
  <conditionalFormatting sqref="F88">
    <cfRule type="expression" dxfId="901" priority="27">
      <formula>F88&gt;0</formula>
    </cfRule>
    <cfRule type="expression" dxfId="900" priority="28">
      <formula>F88&lt;0</formula>
    </cfRule>
  </conditionalFormatting>
  <conditionalFormatting sqref="F88">
    <cfRule type="expression" dxfId="899" priority="29">
      <formula>F88&gt;0</formula>
    </cfRule>
    <cfRule type="expression" dxfId="898" priority="30">
      <formula>F88&lt;0</formula>
    </cfRule>
  </conditionalFormatting>
  <conditionalFormatting sqref="H88">
    <cfRule type="expression" dxfId="897" priority="25">
      <formula>H88&gt;0</formula>
    </cfRule>
    <cfRule type="expression" dxfId="896" priority="26">
      <formula>H88&lt;0</formula>
    </cfRule>
  </conditionalFormatting>
  <conditionalFormatting sqref="F89">
    <cfRule type="expression" dxfId="895" priority="21">
      <formula>F89&gt;0</formula>
    </cfRule>
    <cfRule type="expression" dxfId="894" priority="22">
      <formula>F89&lt;0</formula>
    </cfRule>
  </conditionalFormatting>
  <conditionalFormatting sqref="F89">
    <cfRule type="expression" dxfId="893" priority="23">
      <formula>F89&gt;0</formula>
    </cfRule>
    <cfRule type="expression" dxfId="892" priority="24">
      <formula>F89&lt;0</formula>
    </cfRule>
  </conditionalFormatting>
  <conditionalFormatting sqref="H89">
    <cfRule type="expression" dxfId="891" priority="19">
      <formula>H89&gt;0</formula>
    </cfRule>
    <cfRule type="expression" dxfId="890" priority="20">
      <formula>H89&lt;0</formula>
    </cfRule>
  </conditionalFormatting>
  <conditionalFormatting sqref="F135:F136">
    <cfRule type="expression" dxfId="889" priority="15">
      <formula>F135&gt;0</formula>
    </cfRule>
    <cfRule type="expression" dxfId="888" priority="16">
      <formula>F135&lt;0</formula>
    </cfRule>
  </conditionalFormatting>
  <conditionalFormatting sqref="F135:F136">
    <cfRule type="expression" dxfId="887" priority="17">
      <formula>F135&gt;0</formula>
    </cfRule>
    <cfRule type="expression" dxfId="886" priority="18">
      <formula>F135&lt;0</formula>
    </cfRule>
  </conditionalFormatting>
  <conditionalFormatting sqref="H135:H136">
    <cfRule type="expression" dxfId="885" priority="13">
      <formula>H135&gt;0</formula>
    </cfRule>
    <cfRule type="expression" dxfId="884" priority="14">
      <formula>H135&lt;0</formula>
    </cfRule>
  </conditionalFormatting>
  <conditionalFormatting sqref="F35:F50">
    <cfRule type="expression" dxfId="883" priority="11">
      <formula>F35&gt;0</formula>
    </cfRule>
    <cfRule type="expression" dxfId="882" priority="12">
      <formula>F35&lt;0</formula>
    </cfRule>
  </conditionalFormatting>
  <conditionalFormatting sqref="H35:H50">
    <cfRule type="expression" dxfId="881" priority="9">
      <formula>H35&gt;0</formula>
    </cfRule>
    <cfRule type="expression" dxfId="880" priority="10">
      <formula>H35&lt;0</formula>
    </cfRule>
  </conditionalFormatting>
  <conditionalFormatting sqref="Q10">
    <cfRule type="expression" dxfId="879" priority="7">
      <formula>Q10&gt;0</formula>
    </cfRule>
    <cfRule type="expression" dxfId="878" priority="8">
      <formula>Q10&lt;0</formula>
    </cfRule>
  </conditionalFormatting>
  <conditionalFormatting sqref="J45:K45">
    <cfRule type="expression" dxfId="877" priority="5">
      <formula>J45&gt;0</formula>
    </cfRule>
    <cfRule type="expression" dxfId="876" priority="6">
      <formula>J45&lt;0</formula>
    </cfRule>
  </conditionalFormatting>
  <conditionalFormatting sqref="K46">
    <cfRule type="expression" dxfId="875" priority="3">
      <formula>K46&gt;0</formula>
    </cfRule>
    <cfRule type="expression" dxfId="874" priority="4">
      <formula>K46&lt;0</formula>
    </cfRule>
  </conditionalFormatting>
  <conditionalFormatting sqref="K47:K58">
    <cfRule type="expression" dxfId="873" priority="1">
      <formula>K47&gt;0</formula>
    </cfRule>
    <cfRule type="expression" dxfId="872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11.41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11.41</v>
      </c>
      <c r="R4" s="498">
        <v>2.6100000000000002E-2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697" t="s">
        <v>78</v>
      </c>
      <c r="P40" s="697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12.551000000000002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12.436900000000001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12.322800000000001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12.2087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12.094600000000002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11.980500000000001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11.866400000000001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11.7523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11.638200000000001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11.524100000000001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11.41</v>
      </c>
      <c r="Q51" s="2"/>
      <c r="T51" s="92" t="s">
        <v>104</v>
      </c>
      <c r="U51" s="87" t="s">
        <v>658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11.2959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11.181799999999999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11.0677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10.9536</v>
      </c>
      <c r="T55" s="92" t="s">
        <v>107</v>
      </c>
      <c r="U55" s="87" t="s">
        <v>659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10.839499999999999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10.725399999999999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10.6113</v>
      </c>
      <c r="T58" s="92" t="s">
        <v>108</v>
      </c>
      <c r="U58" s="87" t="s">
        <v>581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10.497200000000001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10.383100000000001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10.269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71" priority="25">
      <formula>F30&gt;0</formula>
    </cfRule>
    <cfRule type="expression" dxfId="870" priority="26">
      <formula>F30&lt;0</formula>
    </cfRule>
  </conditionalFormatting>
  <conditionalFormatting sqref="F34:F42 F46:F74">
    <cfRule type="expression" dxfId="869" priority="21">
      <formula>F34&gt;0</formula>
    </cfRule>
    <cfRule type="expression" dxfId="868" priority="22">
      <formula>F34&lt;0</formula>
    </cfRule>
  </conditionalFormatting>
  <conditionalFormatting sqref="F34:F42 F46:F74">
    <cfRule type="expression" dxfId="867" priority="23">
      <formula>F34&gt;0</formula>
    </cfRule>
    <cfRule type="expression" dxfId="866" priority="24">
      <formula>F34&lt;0</formula>
    </cfRule>
  </conditionalFormatting>
  <conditionalFormatting sqref="H30:H42 H46:H74">
    <cfRule type="expression" dxfId="865" priority="19">
      <formula>H30&gt;0</formula>
    </cfRule>
    <cfRule type="expression" dxfId="864" priority="20">
      <formula>H30&lt;0</formula>
    </cfRule>
  </conditionalFormatting>
  <conditionalFormatting sqref="F25:F29">
    <cfRule type="expression" dxfId="863" priority="13">
      <formula>F25&gt;0</formula>
    </cfRule>
    <cfRule type="expression" dxfId="862" priority="14">
      <formula>F25&lt;0</formula>
    </cfRule>
  </conditionalFormatting>
  <conditionalFormatting sqref="H25:H29">
    <cfRule type="expression" dxfId="861" priority="11">
      <formula>H25&gt;0</formula>
    </cfRule>
    <cfRule type="expression" dxfId="860" priority="12">
      <formula>H25&lt;0</formula>
    </cfRule>
  </conditionalFormatting>
  <conditionalFormatting sqref="Q7">
    <cfRule type="expression" dxfId="859" priority="9">
      <formula>Q7&gt;0</formula>
    </cfRule>
    <cfRule type="expression" dxfId="858" priority="10">
      <formula>Q7&lt;0</formula>
    </cfRule>
  </conditionalFormatting>
  <conditionalFormatting sqref="Q8">
    <cfRule type="expression" dxfId="857" priority="7">
      <formula>Q8&gt;0</formula>
    </cfRule>
    <cfRule type="expression" dxfId="856" priority="8">
      <formula>Q8&lt;0</formula>
    </cfRule>
  </conditionalFormatting>
  <conditionalFormatting sqref="F43:F45">
    <cfRule type="expression" dxfId="855" priority="3">
      <formula>F43&gt;0</formula>
    </cfRule>
    <cfRule type="expression" dxfId="854" priority="4">
      <formula>F43&lt;0</formula>
    </cfRule>
  </conditionalFormatting>
  <conditionalFormatting sqref="F43:F45">
    <cfRule type="expression" dxfId="853" priority="5">
      <formula>F43&gt;0</formula>
    </cfRule>
    <cfRule type="expression" dxfId="852" priority="6">
      <formula>F43&lt;0</formula>
    </cfRule>
  </conditionalFormatting>
  <conditionalFormatting sqref="H43:H45">
    <cfRule type="expression" dxfId="851" priority="1">
      <formula>H43&gt;0</formula>
    </cfRule>
    <cfRule type="expression" dxfId="85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128.78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128.78</v>
      </c>
      <c r="R4" s="498">
        <v>4.1000000000000003E-3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141.65800000000002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140.37020000000001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139.08240000000001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137.7946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136.5068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135.21899999999999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133.93120000000002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132.64340000000001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131.35560000000001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130.06780000000001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128.78</v>
      </c>
      <c r="Q51" s="2"/>
      <c r="T51" s="92" t="s">
        <v>104</v>
      </c>
      <c r="U51" s="129" t="s">
        <v>660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127.4922</v>
      </c>
      <c r="Q52" s="2"/>
      <c r="T52" s="92" t="s">
        <v>105</v>
      </c>
      <c r="U52" s="129" t="s">
        <v>661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126.20439999999999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124.9166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123.6288</v>
      </c>
      <c r="T55" s="92" t="s">
        <v>107</v>
      </c>
      <c r="U55" s="129" t="s">
        <v>662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122.34099999999999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121.05319999999999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119.76540000000001</v>
      </c>
      <c r="T58" s="92" t="s">
        <v>108</v>
      </c>
      <c r="U58" s="129" t="s">
        <v>590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118.47760000000001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117.18980000000001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115.902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49" priority="19">
      <formula>F25&gt;0</formula>
    </cfRule>
    <cfRule type="expression" dxfId="848" priority="20">
      <formula>F25&lt;0</formula>
    </cfRule>
  </conditionalFormatting>
  <conditionalFormatting sqref="Q7">
    <cfRule type="expression" dxfId="847" priority="17">
      <formula>Q7&gt;0</formula>
    </cfRule>
    <cfRule type="expression" dxfId="846" priority="18">
      <formula>Q7&lt;0</formula>
    </cfRule>
  </conditionalFormatting>
  <conditionalFormatting sqref="Q8">
    <cfRule type="expression" dxfId="845" priority="15">
      <formula>Q8&gt;0</formula>
    </cfRule>
    <cfRule type="expression" dxfId="844" priority="16">
      <formula>Q8&lt;0</formula>
    </cfRule>
  </conditionalFormatting>
  <conditionalFormatting sqref="M74">
    <cfRule type="expression" dxfId="843" priority="9">
      <formula>M74&gt;0</formula>
    </cfRule>
    <cfRule type="expression" dxfId="842" priority="10">
      <formula>M74&lt;0</formula>
    </cfRule>
  </conditionalFormatting>
  <conditionalFormatting sqref="F113:F149 H113:H149">
    <cfRule type="expression" dxfId="841" priority="7">
      <formula>F113&gt;0</formula>
    </cfRule>
    <cfRule type="expression" dxfId="840" priority="8">
      <formula>F113&lt;0</formula>
    </cfRule>
  </conditionalFormatting>
  <conditionalFormatting sqref="F105:F112">
    <cfRule type="expression" dxfId="839" priority="5">
      <formula>F105&gt;0</formula>
    </cfRule>
    <cfRule type="expression" dxfId="838" priority="6">
      <formula>F105&lt;0</formula>
    </cfRule>
  </conditionalFormatting>
  <conditionalFormatting sqref="H105:H112">
    <cfRule type="expression" dxfId="837" priority="3">
      <formula>H105&gt;0</formula>
    </cfRule>
    <cfRule type="expression" dxfId="836" priority="4">
      <formula>H105&lt;0</formula>
    </cfRule>
  </conditionalFormatting>
  <conditionalFormatting sqref="Q10">
    <cfRule type="expression" dxfId="835" priority="1">
      <formula>Q10&gt;0</formula>
    </cfRule>
    <cfRule type="expression" dxfId="83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89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13.18</v>
      </c>
      <c r="R4" s="498">
        <v>2.5700000000000001E-2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13180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-22305.680000000168</v>
      </c>
      <c r="R7">
        <v>700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-22305.680000000168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-0.62858257189942712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14.498000000000001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14.366200000000001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14.234400000000001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14.102600000000001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69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13.970800000000001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69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13.839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13.7072</v>
      </c>
      <c r="Q49" s="2"/>
      <c r="T49" s="107" t="s">
        <v>103</v>
      </c>
      <c r="U49" s="105" t="s">
        <v>663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13.5754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13.4436</v>
      </c>
      <c r="Q51" s="2"/>
      <c r="T51" s="107" t="s">
        <v>104</v>
      </c>
      <c r="U51" s="105" t="s">
        <v>664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13.3118</v>
      </c>
      <c r="Q52" s="2"/>
      <c r="T52" s="107" t="s">
        <v>105</v>
      </c>
      <c r="U52" s="105" t="s">
        <v>551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13.18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13.0482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12.916399999999999</v>
      </c>
      <c r="T55" s="107" t="s">
        <v>107</v>
      </c>
      <c r="U55" s="105" t="s">
        <v>665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12.784599999999999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12.652799999999999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12.520999999999999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12.389199999999999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12.257400000000001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12.1256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11.9938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11.862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699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699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497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7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3" priority="74">
      <formula>F12&gt;0</formula>
    </cfRule>
    <cfRule type="expression" dxfId="83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1" priority="67">
      <formula>F124&gt;0</formula>
    </cfRule>
    <cfRule type="expression" dxfId="830" priority="68">
      <formula>F124&lt;0</formula>
    </cfRule>
  </conditionalFormatting>
  <conditionalFormatting sqref="H124:H130">
    <cfRule type="expression" dxfId="829" priority="55">
      <formula>H124&gt;0</formula>
    </cfRule>
    <cfRule type="expression" dxfId="828" priority="56">
      <formula>H124&lt;0</formula>
    </cfRule>
  </conditionalFormatting>
  <conditionalFormatting sqref="H131">
    <cfRule type="expression" dxfId="827" priority="53">
      <formula>H131&gt;0</formula>
    </cfRule>
    <cfRule type="expression" dxfId="826" priority="54">
      <formula>H131&lt;0</formula>
    </cfRule>
  </conditionalFormatting>
  <conditionalFormatting sqref="H132">
    <cfRule type="expression" dxfId="825" priority="51">
      <formula>H132&gt;0</formula>
    </cfRule>
    <cfRule type="expression" dxfId="824" priority="52">
      <formula>H132&lt;0</formula>
    </cfRule>
  </conditionalFormatting>
  <conditionalFormatting sqref="H133:H135">
    <cfRule type="expression" dxfId="823" priority="49">
      <formula>H133&gt;0</formula>
    </cfRule>
    <cfRule type="expression" dxfId="822" priority="50">
      <formula>H133&lt;0</formula>
    </cfRule>
  </conditionalFormatting>
  <conditionalFormatting sqref="H136">
    <cfRule type="expression" dxfId="821" priority="45">
      <formula>H136&gt;0</formula>
    </cfRule>
    <cfRule type="expression" dxfId="820" priority="46">
      <formula>H136&lt;0</formula>
    </cfRule>
  </conditionalFormatting>
  <conditionalFormatting sqref="Q7">
    <cfRule type="expression" dxfId="819" priority="39">
      <formula>Q7&gt;0</formula>
    </cfRule>
    <cfRule type="expression" dxfId="818" priority="40">
      <formula>Q7&lt;0</formula>
    </cfRule>
  </conditionalFormatting>
  <conditionalFormatting sqref="Q8">
    <cfRule type="expression" dxfId="817" priority="37">
      <formula>Q8&gt;0</formula>
    </cfRule>
    <cfRule type="expression" dxfId="816" priority="38">
      <formula>Q8&lt;0</formula>
    </cfRule>
  </conditionalFormatting>
  <conditionalFormatting sqref="F167:F178 H167:H178">
    <cfRule type="expression" dxfId="815" priority="35">
      <formula>F167&gt;0</formula>
    </cfRule>
    <cfRule type="expression" dxfId="814" priority="36">
      <formula>F167&lt;0</formula>
    </cfRule>
  </conditionalFormatting>
  <conditionalFormatting sqref="F183:F197 H183:H197">
    <cfRule type="expression" dxfId="813" priority="33">
      <formula>F183&gt;0</formula>
    </cfRule>
    <cfRule type="expression" dxfId="812" priority="34">
      <formula>F183&lt;0</formula>
    </cfRule>
  </conditionalFormatting>
  <conditionalFormatting sqref="F198:F206 H198:H206">
    <cfRule type="expression" dxfId="811" priority="31">
      <formula>F198&gt;0</formula>
    </cfRule>
    <cfRule type="expression" dxfId="810" priority="32">
      <formula>F198&lt;0</formula>
    </cfRule>
  </conditionalFormatting>
  <conditionalFormatting sqref="F141:F147 H141:H147">
    <cfRule type="expression" dxfId="809" priority="29">
      <formula>F141&gt;0</formula>
    </cfRule>
    <cfRule type="expression" dxfId="808" priority="30">
      <formula>F141&lt;0</formula>
    </cfRule>
  </conditionalFormatting>
  <conditionalFormatting sqref="H149:H152 F149:F152">
    <cfRule type="expression" dxfId="807" priority="27">
      <formula>F149&gt;0</formula>
    </cfRule>
    <cfRule type="expression" dxfId="806" priority="28">
      <formula>F149&lt;0</formula>
    </cfRule>
  </conditionalFormatting>
  <conditionalFormatting sqref="F226 H215:H218 H257:H260 F257:F260 H226 H231:H233 F231:F233 F235:F244 H235:H244">
    <cfRule type="expression" dxfId="805" priority="25">
      <formula>F215&gt;0</formula>
    </cfRule>
    <cfRule type="expression" dxfId="804" priority="26">
      <formula>F215&lt;0</formula>
    </cfRule>
  </conditionalFormatting>
  <conditionalFormatting sqref="F207:F218">
    <cfRule type="expression" dxfId="803" priority="23">
      <formula>F207&gt;0</formula>
    </cfRule>
    <cfRule type="expression" dxfId="802" priority="24">
      <formula>F207&lt;0</formula>
    </cfRule>
  </conditionalFormatting>
  <conditionalFormatting sqref="H207:H208">
    <cfRule type="expression" dxfId="801" priority="21">
      <formula>H207&gt;0</formula>
    </cfRule>
    <cfRule type="expression" dxfId="800" priority="22">
      <formula>H207&lt;0</formula>
    </cfRule>
  </conditionalFormatting>
  <conditionalFormatting sqref="H209">
    <cfRule type="expression" dxfId="799" priority="19">
      <formula>H209&gt;0</formula>
    </cfRule>
    <cfRule type="expression" dxfId="798" priority="20">
      <formula>H209&lt;0</formula>
    </cfRule>
  </conditionalFormatting>
  <conditionalFormatting sqref="H210">
    <cfRule type="expression" dxfId="797" priority="17">
      <formula>H210&gt;0</formula>
    </cfRule>
    <cfRule type="expression" dxfId="796" priority="18">
      <formula>H210&lt;0</formula>
    </cfRule>
  </conditionalFormatting>
  <conditionalFormatting sqref="H211:H213">
    <cfRule type="expression" dxfId="795" priority="15">
      <formula>H211&gt;0</formula>
    </cfRule>
    <cfRule type="expression" dxfId="794" priority="16">
      <formula>H211&lt;0</formula>
    </cfRule>
  </conditionalFormatting>
  <conditionalFormatting sqref="H214">
    <cfRule type="expression" dxfId="793" priority="13">
      <formula>H214&gt;0</formula>
    </cfRule>
    <cfRule type="expression" dxfId="792" priority="14">
      <formula>H214&lt;0</formula>
    </cfRule>
  </conditionalFormatting>
  <conditionalFormatting sqref="F245:F256 H245:H256">
    <cfRule type="expression" dxfId="791" priority="11">
      <formula>F245&gt;0</formula>
    </cfRule>
    <cfRule type="expression" dxfId="790" priority="12">
      <formula>F245&lt;0</formula>
    </cfRule>
  </conditionalFormatting>
  <conditionalFormatting sqref="F261:F275 H261:H275">
    <cfRule type="expression" dxfId="789" priority="9">
      <formula>F261&gt;0</formula>
    </cfRule>
    <cfRule type="expression" dxfId="788" priority="10">
      <formula>F261&lt;0</formula>
    </cfRule>
  </conditionalFormatting>
  <conditionalFormatting sqref="F276:F283 H276:H283">
    <cfRule type="expression" dxfId="787" priority="7">
      <formula>F276&gt;0</formula>
    </cfRule>
    <cfRule type="expression" dxfId="786" priority="8">
      <formula>F276&lt;0</formula>
    </cfRule>
  </conditionalFormatting>
  <conditionalFormatting sqref="F219:F225 H219:H225">
    <cfRule type="expression" dxfId="785" priority="5">
      <formula>F219&gt;0</formula>
    </cfRule>
    <cfRule type="expression" dxfId="784" priority="6">
      <formula>F219&lt;0</formula>
    </cfRule>
  </conditionalFormatting>
  <conditionalFormatting sqref="H227:H230 F227:F230">
    <cfRule type="expression" dxfId="783" priority="3">
      <formula>F227&gt;0</formula>
    </cfRule>
    <cfRule type="expression" dxfId="782" priority="4">
      <formula>F227&lt;0</formula>
    </cfRule>
  </conditionalFormatting>
  <conditionalFormatting sqref="H234 F234">
    <cfRule type="expression" dxfId="781" priority="1">
      <formula>F234&gt;0</formula>
    </cfRule>
    <cfRule type="expression" dxfId="78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117.38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117.38</v>
      </c>
      <c r="R4" s="498">
        <v>2.01E-2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697" t="s">
        <v>78</v>
      </c>
      <c r="P40" s="697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129.11799999999999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127.94420000000001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126.77040000000001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125.59660000000001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124.4228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123.249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122.0752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120.9014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119.7276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118.5538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117.38</v>
      </c>
      <c r="Q51" s="2"/>
      <c r="T51" s="92" t="s">
        <v>104</v>
      </c>
      <c r="U51" s="129" t="s">
        <v>666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116.2062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115.0324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113.8586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112.6848</v>
      </c>
      <c r="T55" s="92" t="s">
        <v>107</v>
      </c>
      <c r="U55" s="129" t="s">
        <v>667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111.511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110.3372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109.1634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107.9896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106.8158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105.642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2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72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72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72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72"/>
      <c r="C76" s="660"/>
      <c r="D76" s="658"/>
      <c r="E76" s="658"/>
      <c r="F76" s="658"/>
      <c r="G76" s="672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79" priority="43">
      <formula>F33&gt;0</formula>
    </cfRule>
    <cfRule type="expression" dxfId="778" priority="44">
      <formula>F33&lt;0</formula>
    </cfRule>
  </conditionalFormatting>
  <conditionalFormatting sqref="Q7">
    <cfRule type="expression" dxfId="777" priority="41">
      <formula>Q7&gt;0</formula>
    </cfRule>
    <cfRule type="expression" dxfId="776" priority="42">
      <formula>Q7&lt;0</formula>
    </cfRule>
  </conditionalFormatting>
  <conditionalFormatting sqref="Q8">
    <cfRule type="expression" dxfId="775" priority="39">
      <formula>Q8&gt;0</formula>
    </cfRule>
    <cfRule type="expression" dxfId="774" priority="40">
      <formula>Q8&lt;0</formula>
    </cfRule>
  </conditionalFormatting>
  <conditionalFormatting sqref="F29 F32">
    <cfRule type="expression" dxfId="773" priority="37">
      <formula>F29&gt;0</formula>
    </cfRule>
    <cfRule type="expression" dxfId="772" priority="38">
      <formula>F29&lt;0</formula>
    </cfRule>
  </conditionalFormatting>
  <conditionalFormatting sqref="H29 H32">
    <cfRule type="expression" dxfId="771" priority="35">
      <formula>H29&gt;0</formula>
    </cfRule>
    <cfRule type="expression" dxfId="770" priority="36">
      <formula>H29&lt;0</formula>
    </cfRule>
  </conditionalFormatting>
  <conditionalFormatting sqref="F30:F31">
    <cfRule type="expression" dxfId="769" priority="33">
      <formula>F30&gt;0</formula>
    </cfRule>
    <cfRule type="expression" dxfId="768" priority="34">
      <formula>F30&lt;0</formula>
    </cfRule>
  </conditionalFormatting>
  <conditionalFormatting sqref="H30:H31">
    <cfRule type="expression" dxfId="767" priority="31">
      <formula>H30&gt;0</formula>
    </cfRule>
    <cfRule type="expression" dxfId="766" priority="32">
      <formula>H30&lt;0</formula>
    </cfRule>
  </conditionalFormatting>
  <conditionalFormatting sqref="F105:F140 H105:H140">
    <cfRule type="expression" dxfId="765" priority="29">
      <formula>F105&gt;0</formula>
    </cfRule>
    <cfRule type="expression" dxfId="764" priority="30">
      <formula>F105&lt;0</formula>
    </cfRule>
  </conditionalFormatting>
  <conditionalFormatting sqref="F96:F99">
    <cfRule type="expression" dxfId="763" priority="27">
      <formula>F96&gt;0</formula>
    </cfRule>
    <cfRule type="expression" dxfId="762" priority="28">
      <formula>F96&lt;0</formula>
    </cfRule>
  </conditionalFormatting>
  <conditionalFormatting sqref="H96:H99">
    <cfRule type="expression" dxfId="761" priority="25">
      <formula>H96&gt;0</formula>
    </cfRule>
    <cfRule type="expression" dxfId="760" priority="26">
      <formula>H96&lt;0</formula>
    </cfRule>
  </conditionalFormatting>
  <conditionalFormatting sqref="F25:F28">
    <cfRule type="expression" dxfId="759" priority="19">
      <formula>F25&gt;0</formula>
    </cfRule>
    <cfRule type="expression" dxfId="758" priority="20">
      <formula>F25&lt;0</formula>
    </cfRule>
  </conditionalFormatting>
  <conditionalFormatting sqref="H25:H28">
    <cfRule type="expression" dxfId="757" priority="17">
      <formula>H25&gt;0</formula>
    </cfRule>
    <cfRule type="expression" dxfId="756" priority="18">
      <formula>H25&lt;0</formula>
    </cfRule>
  </conditionalFormatting>
  <conditionalFormatting sqref="J27">
    <cfRule type="expression" dxfId="755" priority="15">
      <formula>J27&gt;0</formula>
    </cfRule>
    <cfRule type="expression" dxfId="754" priority="16">
      <formula>J27&lt;0</formula>
    </cfRule>
  </conditionalFormatting>
  <conditionalFormatting sqref="F104">
    <cfRule type="expression" dxfId="753" priority="13">
      <formula>F104&gt;0</formula>
    </cfRule>
    <cfRule type="expression" dxfId="752" priority="14">
      <formula>F104&lt;0</formula>
    </cfRule>
  </conditionalFormatting>
  <conditionalFormatting sqref="H104">
    <cfRule type="expression" dxfId="751" priority="11">
      <formula>H104&gt;0</formula>
    </cfRule>
    <cfRule type="expression" dxfId="750" priority="12">
      <formula>H104&lt;0</formula>
    </cfRule>
  </conditionalFormatting>
  <conditionalFormatting sqref="F100:F103">
    <cfRule type="expression" dxfId="749" priority="9">
      <formula>F100&gt;0</formula>
    </cfRule>
    <cfRule type="expression" dxfId="748" priority="10">
      <formula>F100&lt;0</formula>
    </cfRule>
  </conditionalFormatting>
  <conditionalFormatting sqref="H100:H103">
    <cfRule type="expression" dxfId="747" priority="7">
      <formula>H100&gt;0</formula>
    </cfRule>
    <cfRule type="expression" dxfId="746" priority="8">
      <formula>H100&lt;0</formula>
    </cfRule>
  </conditionalFormatting>
  <conditionalFormatting sqref="J102">
    <cfRule type="expression" dxfId="745" priority="5">
      <formula>J102&gt;0</formula>
    </cfRule>
    <cfRule type="expression" dxfId="744" priority="6">
      <formula>J102&lt;0</formula>
    </cfRule>
  </conditionalFormatting>
  <conditionalFormatting sqref="Q10">
    <cfRule type="expression" dxfId="743" priority="3">
      <formula>Q10&gt;0</formula>
    </cfRule>
    <cfRule type="expression" dxfId="742" priority="4">
      <formula>Q10&lt;0</formula>
    </cfRule>
  </conditionalFormatting>
  <conditionalFormatting sqref="M71">
    <cfRule type="expression" dxfId="741" priority="1">
      <formula>M71&gt;0</formula>
    </cfRule>
    <cfRule type="expression" dxfId="74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497">
        <v>42873</v>
      </c>
      <c r="C2" s="4">
        <v>50</v>
      </c>
      <c r="D2" s="3">
        <v>51.65</v>
      </c>
      <c r="E2" s="3">
        <v>0</v>
      </c>
      <c r="F2" s="3">
        <f>C2*D2+E2</f>
        <v>2582.5</v>
      </c>
      <c r="G2" s="73"/>
      <c r="H2" s="183"/>
      <c r="I2" s="3"/>
      <c r="J2" s="3"/>
      <c r="K2" s="3"/>
      <c r="L2" s="73"/>
      <c r="M2" s="3"/>
      <c r="O2" s="11" t="s">
        <v>57</v>
      </c>
      <c r="Q2">
        <v>50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51.65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52.3</v>
      </c>
      <c r="R4" s="498">
        <v>-9.7000000000000003E-3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2615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2582.5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507.97999999999956</v>
      </c>
      <c r="R7" s="30">
        <v>42905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32.5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1.2584704743465635E-2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50</v>
      </c>
      <c r="D18" s="12"/>
      <c r="E18" s="12"/>
      <c r="F18" s="13">
        <f>SUM(F2:F17)</f>
        <v>2582.5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753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697" t="s">
        <v>78</v>
      </c>
      <c r="P44" s="697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1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1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57.53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1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1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57.006999999999998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56.484000000000002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55.960999999999999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55.438000000000002</v>
      </c>
      <c r="T49" s="92" t="s">
        <v>121</v>
      </c>
      <c r="U49" s="129" t="s">
        <v>569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54.914999999999999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54.391999999999996</v>
      </c>
      <c r="T51" s="92" t="s">
        <v>104</v>
      </c>
      <c r="U51" s="129" t="s">
        <v>668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53.869</v>
      </c>
      <c r="T52" s="92" t="s">
        <v>105</v>
      </c>
      <c r="U52" s="129" t="s">
        <v>669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53.345999999999997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52.823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52.3</v>
      </c>
      <c r="T55" s="92" t="s">
        <v>107</v>
      </c>
      <c r="U55" s="129" t="s">
        <v>670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51.776999999999994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51.253999999999998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50.730999999999995</v>
      </c>
      <c r="T58" s="92" t="s">
        <v>108</v>
      </c>
      <c r="U58" s="129" t="s">
        <v>591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50.207999999999998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49.684999999999995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49.161999999999992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48.639000000000003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48.116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47.592999999999996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47.07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39" priority="57">
      <formula>F27&gt;0</formula>
    </cfRule>
    <cfRule type="expression" dxfId="738" priority="58">
      <formula>F27&lt;0</formula>
    </cfRule>
  </conditionalFormatting>
  <conditionalFormatting sqref="H28:H33">
    <cfRule type="expression" dxfId="737" priority="53">
      <formula>H28&gt;0</formula>
    </cfRule>
    <cfRule type="expression" dxfId="736" priority="54">
      <formula>H28&lt;0</formula>
    </cfRule>
  </conditionalFormatting>
  <conditionalFormatting sqref="F24:F26">
    <cfRule type="expression" dxfId="735" priority="39">
      <formula>F24&gt;0</formula>
    </cfRule>
    <cfRule type="expression" dxfId="734" priority="40">
      <formula>F24&lt;0</formula>
    </cfRule>
  </conditionalFormatting>
  <conditionalFormatting sqref="Q8">
    <cfRule type="expression" dxfId="733" priority="33">
      <formula>Q8&gt;0</formula>
    </cfRule>
    <cfRule type="expression" dxfId="732" priority="34">
      <formula>Q8&lt;0</formula>
    </cfRule>
  </conditionalFormatting>
  <conditionalFormatting sqref="Q7">
    <cfRule type="expression" dxfId="731" priority="35">
      <formula>Q7&gt;0</formula>
    </cfRule>
    <cfRule type="expression" dxfId="730" priority="36">
      <formula>Q7&lt;0</formula>
    </cfRule>
  </conditionalFormatting>
  <conditionalFormatting sqref="F34">
    <cfRule type="expression" dxfId="729" priority="31">
      <formula>F34&gt;0</formula>
    </cfRule>
    <cfRule type="expression" dxfId="728" priority="32">
      <formula>F34&lt;0</formula>
    </cfRule>
  </conditionalFormatting>
  <conditionalFormatting sqref="H34">
    <cfRule type="expression" dxfId="727" priority="29">
      <formula>H34&gt;0</formula>
    </cfRule>
    <cfRule type="expression" dxfId="726" priority="30">
      <formula>H34&lt;0</formula>
    </cfRule>
  </conditionalFormatting>
  <conditionalFormatting sqref="M36">
    <cfRule type="expression" dxfId="725" priority="19">
      <formula>M36&gt;0</formula>
    </cfRule>
    <cfRule type="expression" dxfId="724" priority="20">
      <formula>M36&lt;0</formula>
    </cfRule>
  </conditionalFormatting>
  <conditionalFormatting sqref="Q10">
    <cfRule type="expression" dxfId="723" priority="15">
      <formula>Q10&gt;0</formula>
    </cfRule>
    <cfRule type="expression" dxfId="722" priority="16">
      <formula>Q10&lt;0</formula>
    </cfRule>
  </conditionalFormatting>
  <conditionalFormatting sqref="F23">
    <cfRule type="expression" dxfId="721" priority="13">
      <formula>F23&gt;0</formula>
    </cfRule>
    <cfRule type="expression" dxfId="720" priority="14">
      <formula>F23&lt;0</formula>
    </cfRule>
  </conditionalFormatting>
  <conditionalFormatting sqref="I25:J25">
    <cfRule type="expression" dxfId="719" priority="9">
      <formula>I25&gt;0</formula>
    </cfRule>
    <cfRule type="expression" dxfId="718" priority="10">
      <formula>I25&lt;0</formula>
    </cfRule>
  </conditionalFormatting>
  <conditionalFormatting sqref="I26:J27">
    <cfRule type="expression" dxfId="717" priority="7">
      <formula>I26&gt;0</formula>
    </cfRule>
    <cfRule type="expression" dxfId="716" priority="8">
      <formula>I26&lt;0</formula>
    </cfRule>
  </conditionalFormatting>
  <conditionalFormatting sqref="K25:K27">
    <cfRule type="expression" dxfId="715" priority="5">
      <formula>K25&gt;0</formula>
    </cfRule>
    <cfRule type="expression" dxfId="714" priority="6">
      <formula>K25&lt;0</formula>
    </cfRule>
  </conditionalFormatting>
  <conditionalFormatting sqref="I23:J23">
    <cfRule type="expression" dxfId="713" priority="3">
      <formula>I23&gt;0</formula>
    </cfRule>
    <cfRule type="expression" dxfId="71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7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73"/>
      <c r="H3" s="183"/>
      <c r="I3" s="3"/>
      <c r="J3" s="3"/>
      <c r="K3" s="3"/>
      <c r="L3" s="4" t="s">
        <v>538</v>
      </c>
      <c r="M3" s="4"/>
      <c r="O3" s="11" t="s">
        <v>58</v>
      </c>
      <c r="Q3" s="228">
        <f>IF(Q2=0, Q4, (F18-K18-M18)/Q2)</f>
        <v>25.629266666666666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7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22.79</v>
      </c>
      <c r="R4" s="498">
        <v>7.1000000000000004E-3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497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13674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497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15377.56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497">
        <v>42867</v>
      </c>
      <c r="C7" s="4">
        <v>200</v>
      </c>
      <c r="D7" s="3">
        <v>22.98</v>
      </c>
      <c r="E7" s="3">
        <v>0</v>
      </c>
      <c r="F7" s="3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-251.30000000000109</v>
      </c>
      <c r="R7">
        <v>200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-1703.5599999999995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-0.11078220471908415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SUM(C2:C7)</f>
        <v>700</v>
      </c>
      <c r="D18" s="18"/>
      <c r="E18" s="18"/>
      <c r="F18" s="18">
        <f>SUM(F2:F7)</f>
        <v>18296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5" si="9">C30*(E30-D30)</f>
        <v>-130.55999999999983</v>
      </c>
      <c r="G30" s="40">
        <f t="shared" ref="G30:G35" si="10">D30*C30</f>
        <v>3047.56</v>
      </c>
      <c r="H30" s="229">
        <f t="shared" ref="H30:H35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O40" s="697" t="s">
        <v>78</v>
      </c>
      <c r="P40" s="697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25.069000000000003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2">C42*(E42-D42)</f>
        <v>-30.999999999999872</v>
      </c>
      <c r="G42" s="378">
        <f t="shared" ref="G42:G47" si="13">D42*C42</f>
        <v>2500</v>
      </c>
      <c r="H42" s="379">
        <f t="shared" ref="H42:H47" si="14">(E42-D42)/D42</f>
        <v>-1.2399999999999949E-2</v>
      </c>
      <c r="I42" s="378"/>
      <c r="O42" s="82">
        <v>1.0900000000000001</v>
      </c>
      <c r="P42" s="82">
        <f t="shared" ref="P42:P61" si="15">O42*$Q$4</f>
        <v>24.841100000000001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2"/>
        <v>26.000000000000156</v>
      </c>
      <c r="G43" s="378">
        <f t="shared" si="13"/>
        <v>2500</v>
      </c>
      <c r="H43" s="379">
        <f t="shared" si="14"/>
        <v>1.0400000000000062E-2</v>
      </c>
      <c r="I43" s="378"/>
      <c r="O43" s="82">
        <v>1.08</v>
      </c>
      <c r="P43" s="82">
        <f t="shared" si="15"/>
        <v>24.613199999999999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2"/>
        <v>157.00000000000003</v>
      </c>
      <c r="G44" s="378">
        <f t="shared" si="13"/>
        <v>2500</v>
      </c>
      <c r="H44" s="379">
        <f t="shared" si="14"/>
        <v>6.2800000000000009E-2</v>
      </c>
      <c r="I44" s="378"/>
      <c r="O44" s="82">
        <v>1.07</v>
      </c>
      <c r="P44" s="82">
        <f t="shared" si="15"/>
        <v>24.385300000000001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2"/>
        <v>46.999999999999886</v>
      </c>
      <c r="G45" s="378">
        <f t="shared" si="13"/>
        <v>2500</v>
      </c>
      <c r="H45" s="379">
        <f t="shared" si="14"/>
        <v>1.8799999999999956E-2</v>
      </c>
      <c r="I45" s="378"/>
      <c r="O45" s="82">
        <v>1.06</v>
      </c>
      <c r="P45" s="82">
        <f t="shared" si="15"/>
        <v>24.157399999999999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2"/>
        <v>69.000000000000128</v>
      </c>
      <c r="G46" s="378">
        <f t="shared" si="13"/>
        <v>2500</v>
      </c>
      <c r="H46" s="379">
        <f t="shared" si="14"/>
        <v>2.7600000000000052E-2</v>
      </c>
      <c r="I46" s="378"/>
      <c r="O46" s="82">
        <v>1.05</v>
      </c>
      <c r="P46" s="82">
        <f t="shared" si="15"/>
        <v>23.929500000000001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2"/>
        <v>148.00000000000006</v>
      </c>
      <c r="G47" s="378">
        <f t="shared" si="13"/>
        <v>2500</v>
      </c>
      <c r="H47" s="379">
        <f t="shared" si="14"/>
        <v>5.9200000000000016E-2</v>
      </c>
      <c r="I47" s="378"/>
      <c r="O47" s="82">
        <v>1.04</v>
      </c>
      <c r="P47" s="82">
        <f t="shared" si="15"/>
        <v>23.701599999999999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6">C48*(E48-D48)</f>
        <v>428.00000000000011</v>
      </c>
      <c r="G48" s="378">
        <f t="shared" ref="G48:G54" si="17">D48*C48</f>
        <v>2500</v>
      </c>
      <c r="H48" s="379">
        <f t="shared" ref="H48:H54" si="18">(E48-D48)/D48</f>
        <v>0.17120000000000005</v>
      </c>
      <c r="I48" s="378"/>
      <c r="O48" s="82">
        <v>1.03</v>
      </c>
      <c r="P48" s="82">
        <f t="shared" si="15"/>
        <v>23.473700000000001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6"/>
        <v>368</v>
      </c>
      <c r="G49" s="378">
        <f t="shared" si="17"/>
        <v>2500</v>
      </c>
      <c r="H49" s="379">
        <f t="shared" si="18"/>
        <v>0.1472</v>
      </c>
      <c r="I49" s="378"/>
      <c r="O49" s="82">
        <v>1.02</v>
      </c>
      <c r="P49" s="82">
        <f t="shared" si="15"/>
        <v>23.245799999999999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6"/>
        <v>401.00000000000017</v>
      </c>
      <c r="G50" s="378">
        <f t="shared" si="17"/>
        <v>2500</v>
      </c>
      <c r="H50" s="379">
        <f t="shared" si="18"/>
        <v>0.16040000000000007</v>
      </c>
      <c r="I50" s="378"/>
      <c r="O50" s="82">
        <v>1.01</v>
      </c>
      <c r="P50" s="82">
        <f t="shared" si="15"/>
        <v>23.017900000000001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6"/>
        <v>389.00000000000006</v>
      </c>
      <c r="G51" s="378">
        <f t="shared" si="17"/>
        <v>2500</v>
      </c>
      <c r="H51" s="379">
        <f t="shared" si="18"/>
        <v>0.15560000000000002</v>
      </c>
      <c r="I51" s="378"/>
      <c r="O51" s="82">
        <v>1</v>
      </c>
      <c r="P51" s="82">
        <f t="shared" si="15"/>
        <v>22.79</v>
      </c>
      <c r="Q51" s="2"/>
      <c r="T51" s="92" t="s">
        <v>104</v>
      </c>
      <c r="U51" s="129" t="s">
        <v>671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6"/>
        <v>362.99999999999989</v>
      </c>
      <c r="G52" s="378">
        <f t="shared" si="17"/>
        <v>2500</v>
      </c>
      <c r="H52" s="379">
        <f t="shared" si="18"/>
        <v>0.14519999999999997</v>
      </c>
      <c r="I52" s="378"/>
      <c r="O52" s="82">
        <v>0.99</v>
      </c>
      <c r="P52" s="82">
        <f t="shared" si="15"/>
        <v>22.562099999999997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6"/>
        <v>434</v>
      </c>
      <c r="G53" s="378">
        <f t="shared" si="17"/>
        <v>2500</v>
      </c>
      <c r="H53" s="379">
        <f t="shared" si="18"/>
        <v>0.1736</v>
      </c>
      <c r="I53" s="378"/>
      <c r="O53" s="82">
        <v>0.98</v>
      </c>
      <c r="P53" s="82">
        <f t="shared" si="15"/>
        <v>22.334199999999999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6"/>
        <v>200</v>
      </c>
      <c r="G54" s="378">
        <f t="shared" si="17"/>
        <v>2500</v>
      </c>
      <c r="H54" s="379">
        <f t="shared" si="18"/>
        <v>0.08</v>
      </c>
      <c r="I54" s="378"/>
      <c r="O54" s="82">
        <v>0.97</v>
      </c>
      <c r="P54" s="82">
        <f t="shared" si="15"/>
        <v>22.106299999999997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5"/>
        <v>21.878399999999999</v>
      </c>
      <c r="T55" s="92" t="s">
        <v>107</v>
      </c>
      <c r="U55" s="129" t="s">
        <v>672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5"/>
        <v>21.650499999999997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5"/>
        <v>21.422599999999999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5"/>
        <v>21.194700000000001</v>
      </c>
      <c r="T58" s="92" t="s">
        <v>108</v>
      </c>
      <c r="U58" s="129" t="s">
        <v>592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9">C59*(E59-D59)</f>
        <v>-9.9999999999999645</v>
      </c>
      <c r="G59" s="260">
        <f t="shared" ref="G59:G64" si="20">D59*C59</f>
        <v>1287</v>
      </c>
      <c r="H59" s="274">
        <f t="shared" ref="H59:H64" si="21">(E59-D59)/D59</f>
        <v>-7.7700077700077431E-3</v>
      </c>
      <c r="I59" s="260"/>
      <c r="O59" s="82">
        <v>0.92</v>
      </c>
      <c r="P59" s="82">
        <f t="shared" si="15"/>
        <v>20.966799999999999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9"/>
        <v>-45.999999999999908</v>
      </c>
      <c r="G60" s="260">
        <f t="shared" si="20"/>
        <v>1287</v>
      </c>
      <c r="H60" s="274">
        <f t="shared" si="21"/>
        <v>-3.5742035742035674E-2</v>
      </c>
      <c r="I60" s="260"/>
      <c r="O60" s="82">
        <v>0.91</v>
      </c>
      <c r="P60" s="82">
        <f t="shared" si="15"/>
        <v>20.738900000000001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9"/>
        <v>-82.000000000000028</v>
      </c>
      <c r="G61" s="260">
        <f t="shared" si="20"/>
        <v>2496</v>
      </c>
      <c r="H61" s="274">
        <f t="shared" si="21"/>
        <v>-3.2852564102564111E-2</v>
      </c>
      <c r="I61" s="260"/>
      <c r="O61" s="82">
        <v>0.9</v>
      </c>
      <c r="P61" s="82">
        <f t="shared" si="15"/>
        <v>20.510999999999999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9"/>
        <v>-99.000000000000028</v>
      </c>
      <c r="G62" s="260">
        <f t="shared" si="20"/>
        <v>3720</v>
      </c>
      <c r="H62" s="274">
        <f t="shared" si="21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9"/>
        <v>-121.50000000000034</v>
      </c>
      <c r="G63" s="260">
        <f t="shared" si="20"/>
        <v>3720</v>
      </c>
      <c r="H63" s="274">
        <f t="shared" si="21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9"/>
        <v>-50.999999999999979</v>
      </c>
      <c r="G64" s="260">
        <f t="shared" si="20"/>
        <v>3720</v>
      </c>
      <c r="H64" s="274">
        <f t="shared" si="21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2">C65*(E65-D65)</f>
        <v>13.499999999999979</v>
      </c>
      <c r="G65" s="260">
        <f t="shared" ref="G65:G76" si="23">D65*C65</f>
        <v>3720</v>
      </c>
      <c r="H65" s="274">
        <f t="shared" ref="H65:H76" si="24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2"/>
        <v>40.499999999999936</v>
      </c>
      <c r="G66" s="260">
        <f t="shared" si="23"/>
        <v>3720</v>
      </c>
      <c r="H66" s="274">
        <f t="shared" si="24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2"/>
        <v>7.5000000000001066</v>
      </c>
      <c r="G67" s="260">
        <f t="shared" si="23"/>
        <v>3720</v>
      </c>
      <c r="H67" s="274">
        <f t="shared" si="24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2"/>
        <v>-33.000000000000362</v>
      </c>
      <c r="G68" s="260">
        <f t="shared" si="23"/>
        <v>3720</v>
      </c>
      <c r="H68" s="274">
        <f t="shared" si="24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2"/>
        <v>-211.50000000000003</v>
      </c>
      <c r="G69" s="260">
        <f t="shared" si="23"/>
        <v>3720</v>
      </c>
      <c r="H69" s="274">
        <f t="shared" si="24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2"/>
        <v>-144.00000000000011</v>
      </c>
      <c r="G70" s="260">
        <f t="shared" si="23"/>
        <v>3720</v>
      </c>
      <c r="H70" s="274">
        <f t="shared" si="24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2"/>
        <v>-73.500000000000298</v>
      </c>
      <c r="G71" s="260">
        <f t="shared" si="23"/>
        <v>3720</v>
      </c>
      <c r="H71" s="274">
        <f t="shared" si="24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2"/>
        <v>-104.53499999999991</v>
      </c>
      <c r="G72" s="260">
        <f t="shared" si="23"/>
        <v>3694.0349999999999</v>
      </c>
      <c r="H72" s="274">
        <f t="shared" si="24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2"/>
        <v>-164.53499999999968</v>
      </c>
      <c r="G73" s="260">
        <f t="shared" si="23"/>
        <v>3694.0349999999999</v>
      </c>
      <c r="H73" s="274">
        <f t="shared" si="24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2"/>
        <v>8.2949999999998525</v>
      </c>
      <c r="G74" s="260">
        <f t="shared" si="23"/>
        <v>3639.7050000000004</v>
      </c>
      <c r="H74" s="274">
        <f t="shared" si="24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2"/>
        <v>69.794999999999874</v>
      </c>
      <c r="G75" s="260">
        <f t="shared" si="23"/>
        <v>3639.7050000000004</v>
      </c>
      <c r="H75" s="274">
        <f t="shared" si="24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2"/>
        <v>589.25999999999976</v>
      </c>
      <c r="G76" s="260">
        <f t="shared" si="23"/>
        <v>2250.7400000000002</v>
      </c>
      <c r="H76" s="274">
        <f t="shared" si="24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11" priority="37">
      <formula>F55&gt;0</formula>
    </cfRule>
    <cfRule type="expression" dxfId="710" priority="38">
      <formula>F55&lt;0</formula>
    </cfRule>
  </conditionalFormatting>
  <conditionalFormatting sqref="Q7">
    <cfRule type="expression" dxfId="709" priority="25">
      <formula>Q7&gt;0</formula>
    </cfRule>
    <cfRule type="expression" dxfId="708" priority="26">
      <formula>Q7&lt;0</formula>
    </cfRule>
  </conditionalFormatting>
  <conditionalFormatting sqref="Q8">
    <cfRule type="expression" dxfId="707" priority="23">
      <formula>Q8&gt;0</formula>
    </cfRule>
    <cfRule type="expression" dxfId="706" priority="24">
      <formula>Q8&lt;0</formula>
    </cfRule>
  </conditionalFormatting>
  <conditionalFormatting sqref="F42:F54">
    <cfRule type="expression" dxfId="705" priority="21">
      <formula>F42&gt;0</formula>
    </cfRule>
    <cfRule type="expression" dxfId="704" priority="22">
      <formula>F42&lt;0</formula>
    </cfRule>
  </conditionalFormatting>
  <conditionalFormatting sqref="H42:H54">
    <cfRule type="expression" dxfId="703" priority="19">
      <formula>H42&gt;0</formula>
    </cfRule>
    <cfRule type="expression" dxfId="702" priority="20">
      <formula>H42&lt;0</formula>
    </cfRule>
  </conditionalFormatting>
  <conditionalFormatting sqref="H58:H61">
    <cfRule type="expression" dxfId="701" priority="15">
      <formula>H58&gt;0</formula>
    </cfRule>
    <cfRule type="expression" dxfId="700" priority="16">
      <formula>H58&lt;0</formula>
    </cfRule>
  </conditionalFormatting>
  <conditionalFormatting sqref="F58:F61">
    <cfRule type="expression" dxfId="699" priority="17">
      <formula>F58&gt;0</formula>
    </cfRule>
    <cfRule type="expression" dxfId="698" priority="18">
      <formula>F58&lt;0</formula>
    </cfRule>
  </conditionalFormatting>
  <conditionalFormatting sqref="M84">
    <cfRule type="expression" dxfId="697" priority="13">
      <formula>M84&gt;0</formula>
    </cfRule>
    <cfRule type="expression" dxfId="696" priority="14">
      <formula>M84&lt;0</formula>
    </cfRule>
  </conditionalFormatting>
  <conditionalFormatting sqref="F23:F24 F31:F39">
    <cfRule type="expression" dxfId="695" priority="11">
      <formula>F23&gt;0</formula>
    </cfRule>
    <cfRule type="expression" dxfId="694" priority="12">
      <formula>F23&lt;0</formula>
    </cfRule>
  </conditionalFormatting>
  <conditionalFormatting sqref="H23:H24 H31:H39">
    <cfRule type="expression" dxfId="693" priority="9">
      <formula>H23&gt;0</formula>
    </cfRule>
    <cfRule type="expression" dxfId="692" priority="10">
      <formula>H23&lt;0</formula>
    </cfRule>
  </conditionalFormatting>
  <conditionalFormatting sqref="Q10">
    <cfRule type="expression" dxfId="691" priority="7">
      <formula>Q10&gt;0</formula>
    </cfRule>
    <cfRule type="expression" dxfId="690" priority="8">
      <formula>Q10&lt;0</formula>
    </cfRule>
  </conditionalFormatting>
  <conditionalFormatting sqref="F25:F30">
    <cfRule type="expression" dxfId="689" priority="5">
      <formula>F25&gt;0</formula>
    </cfRule>
    <cfRule type="expression" dxfId="688" priority="6">
      <formula>F25&lt;0</formula>
    </cfRule>
  </conditionalFormatting>
  <conditionalFormatting sqref="H25:H30">
    <cfRule type="expression" dxfId="687" priority="3">
      <formula>H25&gt;0</formula>
    </cfRule>
    <cfRule type="expression" dxfId="686" priority="4">
      <formula>H25&lt;0</formula>
    </cfRule>
  </conditionalFormatting>
  <conditionalFormatting sqref="K28:K35">
    <cfRule type="expression" dxfId="685" priority="1">
      <formula>K28&gt;0</formula>
    </cfRule>
    <cfRule type="expression" dxfId="684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56.6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56.6</v>
      </c>
      <c r="R4" s="498">
        <v>6.8999999999999999E-3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559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62.260000000000005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61.694000000000003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61.128000000000007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60.562000000000005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59.996000000000002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59.430000000000007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58.864000000000004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58.298000000000002</v>
      </c>
      <c r="Q48" s="2"/>
      <c r="T48" s="92" t="s">
        <v>331</v>
      </c>
      <c r="U48" s="87" t="s">
        <v>540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57.731999999999999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57.166000000000004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56.6</v>
      </c>
      <c r="Q51" s="2"/>
      <c r="T51" s="92" t="s">
        <v>104</v>
      </c>
      <c r="U51" s="87" t="s">
        <v>673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56.033999999999999</v>
      </c>
      <c r="Q52" s="2"/>
      <c r="T52" s="92" t="s">
        <v>105</v>
      </c>
      <c r="U52" s="87" t="s">
        <v>558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55.468000000000004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54.902000000000001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54.335999999999999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53.769999999999996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53.204000000000001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52.638000000000005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52.072000000000003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51.506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50.940000000000005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3" priority="9">
      <formula>F39&gt;0</formula>
    </cfRule>
    <cfRule type="expression" dxfId="682" priority="10">
      <formula>F39&lt;0</formula>
    </cfRule>
  </conditionalFormatting>
  <conditionalFormatting sqref="F25:F38">
    <cfRule type="expression" dxfId="681" priority="7">
      <formula>F25&gt;0</formula>
    </cfRule>
    <cfRule type="expression" dxfId="680" priority="8">
      <formula>F25&lt;0</formula>
    </cfRule>
  </conditionalFormatting>
  <conditionalFormatting sqref="H25:H38">
    <cfRule type="expression" dxfId="679" priority="5">
      <formula>H25&gt;0</formula>
    </cfRule>
    <cfRule type="expression" dxfId="678" priority="6">
      <formula>H25&lt;0</formula>
    </cfRule>
  </conditionalFormatting>
  <conditionalFormatting sqref="Q7">
    <cfRule type="expression" dxfId="677" priority="3">
      <formula>Q7&gt;0</formula>
    </cfRule>
    <cfRule type="expression" dxfId="676" priority="4">
      <formula>Q7&lt;0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07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 t="shared" ref="K2:K8" si="1"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 t="shared" si="1"/>
        <v>5635.88</v>
      </c>
      <c r="L3" s="4"/>
      <c r="M3" s="4"/>
      <c r="N3" s="4"/>
      <c r="O3" s="11" t="s">
        <v>58</v>
      </c>
      <c r="Q3" s="506">
        <f>(F22-K22)/Q2</f>
        <v>18.652675000000016</v>
      </c>
      <c r="T3" s="1">
        <v>42621</v>
      </c>
      <c r="U3" s="34" t="s">
        <v>265</v>
      </c>
      <c r="AC3" s="232"/>
      <c r="AF3" s="232"/>
    </row>
    <row r="4" spans="1:33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11" si="2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 t="shared" si="1"/>
        <v>1415.97</v>
      </c>
      <c r="L4" s="4"/>
      <c r="M4" s="4"/>
      <c r="N4" s="4"/>
      <c r="O4" s="11" t="s">
        <v>66</v>
      </c>
      <c r="Q4" s="199">
        <v>30.76</v>
      </c>
      <c r="R4" s="498">
        <v>-2.9999999999999997E-4</v>
      </c>
      <c r="T4" s="1">
        <v>42627</v>
      </c>
      <c r="U4" s="34" t="s">
        <v>265</v>
      </c>
      <c r="AC4" s="232"/>
      <c r="AF4" s="232"/>
    </row>
    <row r="5" spans="1:33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2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 t="shared" si="1"/>
        <v>12770.72</v>
      </c>
      <c r="L5" s="4"/>
      <c r="M5" s="4"/>
      <c r="N5" s="4"/>
      <c r="O5" s="11" t="s">
        <v>67</v>
      </c>
      <c r="Q5" s="3">
        <f>Q4*Q2</f>
        <v>12304</v>
      </c>
      <c r="T5" t="s">
        <v>339</v>
      </c>
      <c r="AC5" s="232"/>
      <c r="AF5" s="232"/>
    </row>
    <row r="6" spans="1:33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2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 t="shared" si="1"/>
        <v>2866.94</v>
      </c>
      <c r="L6" s="4"/>
      <c r="M6" s="4"/>
      <c r="N6" s="4"/>
      <c r="O6" s="11" t="s">
        <v>64</v>
      </c>
      <c r="Q6" s="2">
        <f>Q3*Q2</f>
        <v>7461.070000000007</v>
      </c>
      <c r="T6" s="23" t="s">
        <v>492</v>
      </c>
      <c r="AC6" s="232"/>
      <c r="AF6" s="232"/>
    </row>
    <row r="7" spans="1:33" x14ac:dyDescent="0.25">
      <c r="B7" s="499">
        <v>42835</v>
      </c>
      <c r="C7" s="7">
        <v>100</v>
      </c>
      <c r="D7" s="44">
        <v>28.08</v>
      </c>
      <c r="E7" s="44">
        <v>0</v>
      </c>
      <c r="F7" s="44">
        <f t="shared" si="2"/>
        <v>2808</v>
      </c>
      <c r="G7" s="453">
        <v>42874</v>
      </c>
      <c r="H7" s="81">
        <v>200</v>
      </c>
      <c r="I7" s="44">
        <v>28.08</v>
      </c>
      <c r="J7" s="44">
        <v>0.12</v>
      </c>
      <c r="K7" s="44">
        <f t="shared" si="1"/>
        <v>5615.88</v>
      </c>
      <c r="L7" s="4"/>
      <c r="M7" s="4"/>
      <c r="N7" s="4"/>
      <c r="O7" s="11" t="s">
        <v>180</v>
      </c>
      <c r="Q7" s="2">
        <f>Q10+Q8</f>
        <v>20338.796999999846</v>
      </c>
      <c r="R7" s="30">
        <v>42905</v>
      </c>
    </row>
    <row r="8" spans="1:33" x14ac:dyDescent="0.25">
      <c r="B8" s="499">
        <v>42836</v>
      </c>
      <c r="C8" s="7">
        <v>100</v>
      </c>
      <c r="D8" s="44">
        <v>27.06</v>
      </c>
      <c r="E8" s="44">
        <v>0</v>
      </c>
      <c r="F8" s="44">
        <f t="shared" si="2"/>
        <v>2706</v>
      </c>
      <c r="G8" s="453">
        <v>42879</v>
      </c>
      <c r="H8" s="81">
        <v>200</v>
      </c>
      <c r="I8" s="44">
        <v>28.65</v>
      </c>
      <c r="J8" s="44">
        <v>0.12</v>
      </c>
      <c r="K8" s="44">
        <f t="shared" si="1"/>
        <v>5729.88</v>
      </c>
      <c r="L8" s="4"/>
      <c r="M8" s="4"/>
      <c r="N8" s="4"/>
      <c r="O8" s="11" t="s">
        <v>182</v>
      </c>
      <c r="P8" s="34"/>
      <c r="Q8" s="2">
        <f>K22+M22-F22+Q2*Q4</f>
        <v>4842.929999999993</v>
      </c>
      <c r="T8" t="s">
        <v>563</v>
      </c>
      <c r="AC8" s="232"/>
      <c r="AF8" s="232"/>
      <c r="AG8" s="232"/>
    </row>
    <row r="9" spans="1:33" x14ac:dyDescent="0.25">
      <c r="B9" s="499">
        <v>42846</v>
      </c>
      <c r="C9" s="4">
        <v>200</v>
      </c>
      <c r="D9" s="3">
        <v>27.34</v>
      </c>
      <c r="E9" s="3">
        <v>-0.78</v>
      </c>
      <c r="F9" s="3">
        <f t="shared" si="2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0.64909322657473911</v>
      </c>
    </row>
    <row r="10" spans="1:33" x14ac:dyDescent="0.25">
      <c r="B10" s="501">
        <v>42872</v>
      </c>
      <c r="C10" s="4">
        <v>200</v>
      </c>
      <c r="D10" s="3">
        <v>27.48</v>
      </c>
      <c r="E10" s="3">
        <v>0</v>
      </c>
      <c r="F10" s="3">
        <f t="shared" si="2"/>
        <v>5496</v>
      </c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AC10" s="232"/>
      <c r="AF10" s="232"/>
    </row>
    <row r="11" spans="1:33" x14ac:dyDescent="0.25">
      <c r="B11" s="501">
        <v>42872</v>
      </c>
      <c r="C11" s="4">
        <v>200</v>
      </c>
      <c r="D11" s="3">
        <v>27.08</v>
      </c>
      <c r="E11" s="3">
        <v>0</v>
      </c>
      <c r="F11" s="3">
        <f t="shared" si="2"/>
        <v>5416</v>
      </c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5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1800</v>
      </c>
      <c r="D22" s="12"/>
      <c r="E22" s="12"/>
      <c r="F22" s="13">
        <f>SUM(F2:F21)</f>
        <v>47086.22</v>
      </c>
      <c r="G22" s="12"/>
      <c r="H22" s="12">
        <f>SUM(H2:H21)</f>
        <v>1400</v>
      </c>
      <c r="I22" s="13"/>
      <c r="J22" s="13"/>
      <c r="K22" s="13">
        <f>SUM(K2:K21)</f>
        <v>39625.149999999994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1000</v>
      </c>
      <c r="D23" s="354"/>
      <c r="E23" s="354"/>
      <c r="F23" s="355">
        <f>SumByColor($A$23,F2:F21)</f>
        <v>25193</v>
      </c>
      <c r="G23" s="354"/>
      <c r="H23" s="354">
        <f>SumByColor($A$23,H2:H21)</f>
        <v>1400</v>
      </c>
      <c r="I23" s="354"/>
      <c r="J23" s="354"/>
      <c r="K23" s="355">
        <f>SumByColor($A$23,K2:K21)</f>
        <v>33896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5" t="s">
        <v>78</v>
      </c>
      <c r="P24" s="695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33.836000000000006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3">O26*$Q$4</f>
        <v>33.528400000000005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3"/>
        <v>33.220800000000004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3"/>
        <v>32.913200000000003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753</v>
      </c>
      <c r="M29" s="4"/>
      <c r="N29" s="4"/>
      <c r="O29" s="82">
        <v>1.06</v>
      </c>
      <c r="P29" s="82">
        <f t="shared" si="3"/>
        <v>32.605600000000003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3"/>
        <v>32.298000000000002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3"/>
        <v>31.990400000000001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3"/>
        <v>31.682800000000004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3"/>
        <v>31.375200000000003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3"/>
        <v>31.067600000000002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3"/>
        <v>30.76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3"/>
        <v>30.452400000000001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3"/>
        <v>30.1448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3"/>
        <v>29.837199999999999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3"/>
        <v>29.529600000000002</v>
      </c>
    </row>
    <row r="40" spans="1:32" x14ac:dyDescent="0.25">
      <c r="A40" s="664" t="s">
        <v>458</v>
      </c>
      <c r="B40" s="665">
        <v>42788</v>
      </c>
      <c r="C40" s="664">
        <v>1550</v>
      </c>
      <c r="D40" s="675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76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3"/>
        <v>29.222000000000001</v>
      </c>
    </row>
    <row r="41" spans="1:32" x14ac:dyDescent="0.25">
      <c r="A41" s="664" t="s">
        <v>478</v>
      </c>
      <c r="B41" s="665">
        <v>42790</v>
      </c>
      <c r="C41" s="664">
        <v>1550</v>
      </c>
      <c r="D41" s="675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76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3"/>
        <v>28.914400000000001</v>
      </c>
    </row>
    <row r="42" spans="1:32" x14ac:dyDescent="0.25">
      <c r="A42" s="664"/>
      <c r="B42" s="665">
        <v>42793</v>
      </c>
      <c r="C42" s="664">
        <v>1550</v>
      </c>
      <c r="D42" s="675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76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3"/>
        <v>28.606800000000003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75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76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3"/>
        <v>28.299200000000003</v>
      </c>
    </row>
    <row r="44" spans="1:32" x14ac:dyDescent="0.25">
      <c r="A44" s="664">
        <v>200</v>
      </c>
      <c r="B44" s="665">
        <v>42796</v>
      </c>
      <c r="C44" s="664">
        <v>1200</v>
      </c>
      <c r="D44" s="675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76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82">
        <v>0.91</v>
      </c>
      <c r="P44" s="82">
        <f t="shared" si="3"/>
        <v>27.991600000000002</v>
      </c>
    </row>
    <row r="45" spans="1:32" x14ac:dyDescent="0.25">
      <c r="A45" s="664">
        <v>100</v>
      </c>
      <c r="B45" s="665">
        <v>42798</v>
      </c>
      <c r="C45" s="664">
        <v>1000</v>
      </c>
      <c r="D45" s="675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76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0.9</v>
      </c>
      <c r="P45" s="82">
        <f t="shared" si="3"/>
        <v>27.684000000000001</v>
      </c>
    </row>
    <row r="46" spans="1:32" x14ac:dyDescent="0.25">
      <c r="A46" s="664">
        <v>100</v>
      </c>
      <c r="B46" s="665">
        <v>42803</v>
      </c>
      <c r="C46" s="664">
        <v>1100</v>
      </c>
      <c r="D46" s="675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76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75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76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75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76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1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1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1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8">-C53*(D53-E53)</f>
        <v>3326.9999999999982</v>
      </c>
      <c r="G53" s="40">
        <f t="shared" ref="G53:G62" si="39">IF(C53=0, 0,D53*C53)</f>
        <v>25193</v>
      </c>
      <c r="H53" s="230">
        <f t="shared" ref="H53:H62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 t="shared" ref="L54:L62" si="42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 t="shared" si="42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 t="shared" si="42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 t="shared" si="42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338</v>
      </c>
      <c r="J58" s="40"/>
      <c r="K58" s="40">
        <v>18217</v>
      </c>
      <c r="L58" s="40">
        <f t="shared" si="42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8"/>
        <v>3343.0499999999984</v>
      </c>
      <c r="G59" s="40">
        <f t="shared" si="39"/>
        <v>23532.45</v>
      </c>
      <c r="H59" s="230">
        <f t="shared" si="40"/>
        <v>0.14206128133704729</v>
      </c>
      <c r="I59" s="40"/>
      <c r="J59" s="40"/>
      <c r="K59" s="40">
        <v>18839</v>
      </c>
      <c r="L59" s="40">
        <f t="shared" si="42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8"/>
        <v>3329.2000000000003</v>
      </c>
      <c r="G60" s="40">
        <f t="shared" si="39"/>
        <v>7894.7999999999993</v>
      </c>
      <c r="H60" s="230">
        <f t="shared" si="40"/>
        <v>0.42169529310432191</v>
      </c>
      <c r="I60" s="40"/>
      <c r="J60" s="40"/>
      <c r="K60" s="40">
        <v>18825</v>
      </c>
      <c r="L60" s="40">
        <f t="shared" si="42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8"/>
        <v>2792.7999999999997</v>
      </c>
      <c r="G61" s="40">
        <f t="shared" si="39"/>
        <v>18807.2</v>
      </c>
      <c r="H61" s="230">
        <f t="shared" si="40"/>
        <v>0.14849632055808412</v>
      </c>
      <c r="I61" s="40"/>
      <c r="J61" s="40"/>
      <c r="K61" s="40">
        <v>18289</v>
      </c>
      <c r="L61" s="40">
        <f t="shared" si="42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8"/>
        <v>3515.9999999999995</v>
      </c>
      <c r="G62" s="40">
        <f t="shared" si="39"/>
        <v>13188</v>
      </c>
      <c r="H62" s="230">
        <f t="shared" si="40"/>
        <v>0.26660600545950863</v>
      </c>
      <c r="I62" s="40"/>
      <c r="J62" s="40"/>
      <c r="K62" s="40">
        <v>18793</v>
      </c>
      <c r="L62" s="40">
        <f t="shared" si="42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3">-C70*(D70-E70)</f>
        <v>-3110.9999999999973</v>
      </c>
      <c r="G70" s="556">
        <f t="shared" ref="G70:G79" si="44">IF(C70=0, 0,D70*C70)</f>
        <v>88179</v>
      </c>
      <c r="H70" s="604">
        <f t="shared" ref="H70:H84" si="45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3"/>
        <v>-1812.9999999999875</v>
      </c>
      <c r="G71" s="556">
        <f t="shared" si="44"/>
        <v>84721</v>
      </c>
      <c r="H71" s="604">
        <f t="shared" si="45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3"/>
        <v>-5303.9999999999955</v>
      </c>
      <c r="G72" s="556">
        <f t="shared" si="44"/>
        <v>87975</v>
      </c>
      <c r="H72" s="604">
        <f t="shared" si="45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3"/>
        <v>2303.5000000000036</v>
      </c>
      <c r="G73" s="556">
        <f t="shared" si="44"/>
        <v>46042.899999999994</v>
      </c>
      <c r="H73" s="604">
        <f t="shared" si="45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3"/>
        <v>1305.9000000000083</v>
      </c>
      <c r="G74" s="556">
        <f t="shared" si="44"/>
        <v>49304.979999999996</v>
      </c>
      <c r="H74" s="604">
        <f t="shared" si="45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3"/>
        <v>-2283.9999999999918</v>
      </c>
      <c r="G75" s="556">
        <f t="shared" si="44"/>
        <v>96556.1</v>
      </c>
      <c r="H75" s="604">
        <f t="shared" si="45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3"/>
        <v>-2355</v>
      </c>
      <c r="G76" s="556">
        <f t="shared" si="44"/>
        <v>79834.5</v>
      </c>
      <c r="H76" s="604">
        <f t="shared" si="45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3"/>
        <v>-5211.8000000000056</v>
      </c>
      <c r="G77" s="556">
        <f t="shared" si="44"/>
        <v>85362.200000000012</v>
      </c>
      <c r="H77" s="604">
        <f t="shared" si="45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3"/>
        <v>-9899.9999999999909</v>
      </c>
      <c r="G78" s="556">
        <f t="shared" si="44"/>
        <v>99240</v>
      </c>
      <c r="H78" s="604">
        <f t="shared" si="45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3"/>
        <v>-7337.0000000000055</v>
      </c>
      <c r="G79" s="556">
        <f t="shared" si="44"/>
        <v>84653.8</v>
      </c>
      <c r="H79" s="604">
        <f t="shared" si="45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3"/>
        <v>-6779.9999999999936</v>
      </c>
      <c r="G80" s="556">
        <f t="shared" ref="G80:G107" si="46">IF(C80=0, 0,D80*C80)</f>
        <v>99120</v>
      </c>
      <c r="H80" s="604">
        <f t="shared" si="45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3"/>
        <v>-6881.5999999999967</v>
      </c>
      <c r="G81" s="556">
        <f t="shared" si="46"/>
        <v>84400.8</v>
      </c>
      <c r="H81" s="604">
        <f t="shared" si="45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3"/>
        <v>-3768.0000000000032</v>
      </c>
      <c r="G82" s="556">
        <f t="shared" si="46"/>
        <v>78798.3</v>
      </c>
      <c r="H82" s="604">
        <f t="shared" si="45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3"/>
        <v>-4301.0000000000073</v>
      </c>
      <c r="G83" s="556">
        <f t="shared" si="46"/>
        <v>84350.200000000012</v>
      </c>
      <c r="H83" s="604">
        <f t="shared" si="45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3"/>
        <v>-5211.8000000000056</v>
      </c>
      <c r="G84" s="556">
        <f t="shared" si="46"/>
        <v>84198.400000000009</v>
      </c>
      <c r="H84" s="604">
        <f t="shared" si="45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3"/>
        <v>-11782.399999999992</v>
      </c>
      <c r="G85" s="556">
        <f t="shared" si="46"/>
        <v>87105.599999999991</v>
      </c>
      <c r="H85" s="604">
        <f t="shared" ref="H85:H107" si="47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3"/>
        <v>-9968.1999999999935</v>
      </c>
      <c r="G86" s="556">
        <f t="shared" si="46"/>
        <v>84147.799999999988</v>
      </c>
      <c r="H86" s="604">
        <f t="shared" si="47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3"/>
        <v>-13054.80000000001</v>
      </c>
      <c r="G87" s="556">
        <f t="shared" si="46"/>
        <v>84097.200000000012</v>
      </c>
      <c r="H87" s="604">
        <f t="shared" si="47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3"/>
        <v>-13079.999999999998</v>
      </c>
      <c r="G88" s="556">
        <f t="shared" si="46"/>
        <v>97320</v>
      </c>
      <c r="H88" s="604">
        <f t="shared" si="47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3"/>
        <v>-13020.000000000009</v>
      </c>
      <c r="G89" s="556">
        <f t="shared" si="46"/>
        <v>100068</v>
      </c>
      <c r="H89" s="604">
        <f t="shared" si="47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3"/>
        <v>-13043.880000000006</v>
      </c>
      <c r="G90" s="556">
        <f t="shared" si="46"/>
        <v>93366.720000000001</v>
      </c>
      <c r="H90" s="604">
        <f t="shared" si="47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3"/>
        <v>-13025.958000000004</v>
      </c>
      <c r="G91" s="556">
        <f t="shared" si="46"/>
        <v>84068.358000000007</v>
      </c>
      <c r="H91" s="604">
        <f t="shared" si="47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3"/>
        <v>-11521.114000000007</v>
      </c>
      <c r="G92" s="556">
        <f t="shared" si="46"/>
        <v>83980.314000000013</v>
      </c>
      <c r="H92" s="604">
        <f t="shared" si="47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3"/>
        <v>-11410.000000000005</v>
      </c>
      <c r="G93" s="556">
        <f t="shared" si="46"/>
        <v>111790</v>
      </c>
      <c r="H93" s="604">
        <f t="shared" si="47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3"/>
        <v>-11220.000000000005</v>
      </c>
      <c r="G94" s="556">
        <f t="shared" si="46"/>
        <v>97380</v>
      </c>
      <c r="H94" s="604">
        <f t="shared" si="47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3"/>
        <v>-11211.199999999997</v>
      </c>
      <c r="G95" s="556">
        <f t="shared" si="46"/>
        <v>90191.2</v>
      </c>
      <c r="H95" s="604">
        <f t="shared" si="47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3"/>
        <v>-9664.6</v>
      </c>
      <c r="G96" s="556">
        <f t="shared" si="46"/>
        <v>83743</v>
      </c>
      <c r="H96" s="604">
        <f t="shared" si="47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3"/>
        <v>-9794.1360000000041</v>
      </c>
      <c r="G97" s="556">
        <f t="shared" si="46"/>
        <v>83720.736000000004</v>
      </c>
      <c r="H97" s="604">
        <f t="shared" si="47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3"/>
        <v>-16274.965999999995</v>
      </c>
      <c r="G98" s="556">
        <f t="shared" si="46"/>
        <v>86390.766000000003</v>
      </c>
      <c r="H98" s="604">
        <f t="shared" si="47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3"/>
        <v>-29899.999999999993</v>
      </c>
      <c r="G99" s="556">
        <f t="shared" si="46"/>
        <v>83600</v>
      </c>
      <c r="H99" s="604">
        <f t="shared" si="47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3"/>
        <v>-28718.02199999999</v>
      </c>
      <c r="G100" s="556">
        <f t="shared" si="46"/>
        <v>86367.621999999988</v>
      </c>
      <c r="H100" s="604">
        <f t="shared" si="47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3"/>
        <v>-30321.199999999997</v>
      </c>
      <c r="G101" s="556">
        <f t="shared" si="46"/>
        <v>81015.199999999997</v>
      </c>
      <c r="H101" s="604">
        <f t="shared" si="47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3"/>
        <v>-29806.800000000003</v>
      </c>
      <c r="G102" s="556">
        <f t="shared" si="46"/>
        <v>72786.8</v>
      </c>
      <c r="H102" s="604">
        <f t="shared" si="47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3"/>
        <v>-29239.199999999993</v>
      </c>
      <c r="G103" s="556">
        <f t="shared" si="46"/>
        <v>68155.199999999997</v>
      </c>
      <c r="H103" s="604">
        <f t="shared" si="47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3"/>
        <v>-30856.212000000007</v>
      </c>
      <c r="G104" s="556">
        <f t="shared" si="46"/>
        <v>86033.612000000008</v>
      </c>
      <c r="H104" s="604">
        <f t="shared" si="47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3"/>
        <v>-24651.563999999995</v>
      </c>
      <c r="G105" s="556">
        <f t="shared" si="46"/>
        <v>80248.363999999987</v>
      </c>
      <c r="H105" s="604">
        <f t="shared" si="47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3"/>
        <v>-24751.381000000001</v>
      </c>
      <c r="G106" s="556">
        <f t="shared" si="46"/>
        <v>86009.581000000006</v>
      </c>
      <c r="H106" s="604">
        <f t="shared" si="47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3"/>
        <v>-28613.610000000004</v>
      </c>
      <c r="G107" s="556">
        <f t="shared" si="46"/>
        <v>86010.11</v>
      </c>
      <c r="H107" s="604">
        <f t="shared" si="47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8">-C108*(D108-E108)</f>
        <v>-28406.616000000002</v>
      </c>
      <c r="G108" s="556">
        <f t="shared" ref="G108:G146" si="49">IF(C108=0, 0,D108*C108)</f>
        <v>85963.266000000003</v>
      </c>
      <c r="H108" s="604">
        <f t="shared" ref="H108:H146" si="50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8"/>
        <v>-27248.360000000008</v>
      </c>
      <c r="G109" s="556">
        <f t="shared" si="49"/>
        <v>85919.360000000015</v>
      </c>
      <c r="H109" s="604">
        <f t="shared" si="50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8"/>
        <v>-26871.468499999992</v>
      </c>
      <c r="G110" s="556">
        <f t="shared" si="49"/>
        <v>84298.1685</v>
      </c>
      <c r="H110" s="604">
        <f t="shared" si="50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8"/>
        <v>-24742.084500000001</v>
      </c>
      <c r="G111" s="556">
        <f t="shared" si="49"/>
        <v>70382.784499999994</v>
      </c>
      <c r="H111" s="604">
        <f t="shared" si="50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8"/>
        <v>-25084.414000000001</v>
      </c>
      <c r="G112" s="556">
        <f t="shared" si="49"/>
        <v>85258.813999999998</v>
      </c>
      <c r="H112" s="604">
        <f t="shared" si="50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8"/>
        <v>-29256.487999999998</v>
      </c>
      <c r="G113" s="556">
        <f t="shared" si="49"/>
        <v>86340.487999999998</v>
      </c>
      <c r="H113" s="604">
        <f t="shared" si="50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8"/>
        <v>-27809.620000000003</v>
      </c>
      <c r="G114" s="556">
        <f t="shared" si="49"/>
        <v>85248.82</v>
      </c>
      <c r="H114" s="604">
        <f t="shared" si="50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8"/>
        <v>-30544.820000000003</v>
      </c>
      <c r="G115" s="556">
        <f t="shared" si="49"/>
        <v>85248.82</v>
      </c>
      <c r="H115" s="604">
        <f t="shared" si="50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8"/>
        <v>-30549.887999999995</v>
      </c>
      <c r="G116" s="556">
        <f t="shared" si="49"/>
        <v>90453.887999999992</v>
      </c>
      <c r="H116" s="604">
        <f t="shared" si="50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8"/>
        <v>-28441.346000000009</v>
      </c>
      <c r="G117" s="556">
        <f t="shared" si="49"/>
        <v>85038.946000000011</v>
      </c>
      <c r="H117" s="604">
        <f t="shared" si="50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8"/>
        <v>-31628.763999999996</v>
      </c>
      <c r="G118" s="556">
        <f t="shared" si="49"/>
        <v>91224.963999999993</v>
      </c>
      <c r="H118" s="604">
        <f t="shared" si="50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8"/>
        <v>-27540.307999999997</v>
      </c>
      <c r="G119" s="556">
        <f t="shared" si="49"/>
        <v>84769.108000000007</v>
      </c>
      <c r="H119" s="604">
        <f t="shared" si="50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8"/>
        <v>-28697.508000000002</v>
      </c>
      <c r="G120" s="556">
        <f t="shared" si="49"/>
        <v>84769.108000000007</v>
      </c>
      <c r="H120" s="604">
        <f t="shared" si="50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8"/>
        <v>-24361.662</v>
      </c>
      <c r="G121" s="556">
        <f t="shared" si="49"/>
        <v>73394.262000000002</v>
      </c>
      <c r="H121" s="604">
        <f t="shared" si="50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8"/>
        <v>-23878.821999999989</v>
      </c>
      <c r="G122" s="556">
        <f t="shared" si="49"/>
        <v>84684.421999999991</v>
      </c>
      <c r="H122" s="604">
        <f t="shared" si="50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8"/>
        <v>-23451.183999999997</v>
      </c>
      <c r="G123" s="556">
        <f t="shared" si="49"/>
        <v>84572.383999999991</v>
      </c>
      <c r="H123" s="604">
        <f t="shared" si="50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8"/>
        <v>-28042.299999999996</v>
      </c>
      <c r="G124" s="556">
        <f t="shared" si="49"/>
        <v>87167.3</v>
      </c>
      <c r="H124" s="604">
        <f t="shared" si="50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8"/>
        <v>-32191.9</v>
      </c>
      <c r="G125" s="556">
        <f t="shared" si="49"/>
        <v>97191.900000000009</v>
      </c>
      <c r="H125" s="604">
        <f t="shared" si="50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8"/>
        <v>-31551.299999999996</v>
      </c>
      <c r="G126" s="556">
        <f t="shared" si="49"/>
        <v>86881.3</v>
      </c>
      <c r="H126" s="604">
        <f t="shared" si="50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8"/>
        <v>-34151.30000000001</v>
      </c>
      <c r="G127" s="556">
        <f t="shared" si="49"/>
        <v>115921.3</v>
      </c>
      <c r="H127" s="604">
        <f t="shared" si="50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8"/>
        <v>-33961.949999999997</v>
      </c>
      <c r="G128" s="556">
        <f t="shared" si="49"/>
        <v>86651.95</v>
      </c>
      <c r="H128" s="604">
        <f t="shared" si="50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8"/>
        <v>-27277.000000000004</v>
      </c>
      <c r="G129" s="556">
        <f t="shared" si="49"/>
        <v>81277.000000000015</v>
      </c>
      <c r="H129" s="604">
        <f t="shared" si="50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8"/>
        <v>-23679.899999999991</v>
      </c>
      <c r="G130" s="556">
        <f t="shared" si="49"/>
        <v>75384.899999999994</v>
      </c>
      <c r="H130" s="604">
        <f t="shared" si="50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8"/>
        <v>-23160.150000000005</v>
      </c>
      <c r="G131" s="556">
        <f t="shared" si="49"/>
        <v>75360.150000000009</v>
      </c>
      <c r="H131" s="604">
        <f t="shared" si="50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8"/>
        <v>-21580</v>
      </c>
      <c r="G132" s="556">
        <f t="shared" si="49"/>
        <v>69380</v>
      </c>
      <c r="H132" s="604">
        <f t="shared" si="50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8"/>
        <v>-20050.800000000003</v>
      </c>
      <c r="G133" s="556">
        <f t="shared" si="49"/>
        <v>69290.8</v>
      </c>
      <c r="H133" s="604">
        <f t="shared" si="50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8"/>
        <v>-16837.537500000002</v>
      </c>
      <c r="G134" s="556">
        <f t="shared" si="49"/>
        <v>61016.287500000006</v>
      </c>
      <c r="H134" s="604">
        <f t="shared" si="50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8"/>
        <v>-17476.399999999998</v>
      </c>
      <c r="G135" s="556">
        <f t="shared" si="49"/>
        <v>68916.399999999994</v>
      </c>
      <c r="H135" s="604">
        <f t="shared" si="50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8"/>
        <v>-18696.400000000005</v>
      </c>
      <c r="G136" s="556">
        <f t="shared" si="49"/>
        <v>68736.400000000009</v>
      </c>
      <c r="H136" s="604">
        <f t="shared" si="50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8"/>
        <v>-20214.768</v>
      </c>
      <c r="G137" s="556">
        <f t="shared" si="49"/>
        <v>78001.168000000005</v>
      </c>
      <c r="H137" s="604">
        <f t="shared" si="50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8"/>
        <v>-21262.920000000002</v>
      </c>
      <c r="G138" s="556">
        <f t="shared" si="49"/>
        <v>78002.12</v>
      </c>
      <c r="H138" s="604">
        <f t="shared" si="50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8"/>
        <v>-20999.216</v>
      </c>
      <c r="G139" s="556">
        <f t="shared" si="49"/>
        <v>77881.216</v>
      </c>
      <c r="H139" s="604">
        <f t="shared" si="50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8"/>
        <v>-19042.620000000006</v>
      </c>
      <c r="G140" s="556">
        <f t="shared" si="49"/>
        <v>75714.62000000001</v>
      </c>
      <c r="H140" s="604">
        <f t="shared" si="50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8"/>
        <v>-17040.800000000003</v>
      </c>
      <c r="G141" s="556">
        <f t="shared" si="49"/>
        <v>68040.800000000003</v>
      </c>
      <c r="H141" s="604">
        <f t="shared" si="50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8"/>
        <v>-12255.250000000002</v>
      </c>
      <c r="G142" s="556">
        <f t="shared" si="49"/>
        <v>47380.250000000007</v>
      </c>
      <c r="H142" s="604">
        <f t="shared" si="50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8"/>
        <v>-13580.100000000006</v>
      </c>
      <c r="G143" s="556">
        <f t="shared" si="49"/>
        <v>54140.100000000006</v>
      </c>
      <c r="H143" s="604">
        <f t="shared" si="50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8"/>
        <v>-13760.25</v>
      </c>
      <c r="G144" s="556">
        <f t="shared" si="49"/>
        <v>60870.25</v>
      </c>
      <c r="H144" s="604">
        <f t="shared" si="50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8"/>
        <v>-14250</v>
      </c>
      <c r="G145" s="556">
        <f t="shared" si="49"/>
        <v>67530</v>
      </c>
      <c r="H145" s="604">
        <f t="shared" si="50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8"/>
        <v>-19047.14</v>
      </c>
      <c r="G146" s="556">
        <f t="shared" si="49"/>
        <v>77261.94</v>
      </c>
      <c r="H146" s="604">
        <f t="shared" si="50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1">-C147*(D147-E147)</f>
        <v>-19222.143999999993</v>
      </c>
      <c r="G147" s="556">
        <f t="shared" ref="G147:G194" si="52">IF(C147=0, 0,D147*C147)</f>
        <v>83551.944000000003</v>
      </c>
      <c r="H147" s="604">
        <f t="shared" ref="H147:H194" si="53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1"/>
        <v>-15240.149999999998</v>
      </c>
      <c r="G148" s="556">
        <f t="shared" si="52"/>
        <v>73695.149999999994</v>
      </c>
      <c r="H148" s="604">
        <f t="shared" si="53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1"/>
        <v>-14340.15</v>
      </c>
      <c r="G149" s="556">
        <f t="shared" si="52"/>
        <v>73695.149999999994</v>
      </c>
      <c r="H149" s="604">
        <f t="shared" si="53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1"/>
        <v>-11794.000000000004</v>
      </c>
      <c r="G150" s="556">
        <f t="shared" si="52"/>
        <v>66834</v>
      </c>
      <c r="H150" s="604">
        <f t="shared" si="53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1"/>
        <v>-11115.000000000004</v>
      </c>
      <c r="G151" s="556">
        <f t="shared" si="52"/>
        <v>73035</v>
      </c>
      <c r="H151" s="604">
        <f t="shared" si="53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1"/>
        <v>-16785.000000000004</v>
      </c>
      <c r="G152" s="556">
        <f t="shared" si="52"/>
        <v>73035</v>
      </c>
      <c r="H152" s="604">
        <f t="shared" si="53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1"/>
        <v>-19431.5</v>
      </c>
      <c r="G153" s="556">
        <f t="shared" si="52"/>
        <v>78981.5</v>
      </c>
      <c r="H153" s="604">
        <f t="shared" si="53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1"/>
        <v>-17741.700000000012</v>
      </c>
      <c r="G154" s="556">
        <f t="shared" si="52"/>
        <v>72641.700000000012</v>
      </c>
      <c r="H154" s="604">
        <f t="shared" si="53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1"/>
        <v>-15851.700000000012</v>
      </c>
      <c r="G155" s="556">
        <f t="shared" si="52"/>
        <v>72641.700000000012</v>
      </c>
      <c r="H155" s="604">
        <f t="shared" si="53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1"/>
        <v>-15763.5</v>
      </c>
      <c r="G156" s="556">
        <f t="shared" si="52"/>
        <v>72643.5</v>
      </c>
      <c r="H156" s="604">
        <f t="shared" si="53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1"/>
        <v>-13333.500000000004</v>
      </c>
      <c r="G157" s="556">
        <f t="shared" si="52"/>
        <v>72643.5</v>
      </c>
      <c r="H157" s="604">
        <f t="shared" si="53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1"/>
        <v>-10052</v>
      </c>
      <c r="G158" s="556">
        <f t="shared" si="52"/>
        <v>65732</v>
      </c>
      <c r="H158" s="604">
        <f t="shared" si="53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1"/>
        <v>-7249.2800000000043</v>
      </c>
      <c r="G159" s="556">
        <f t="shared" si="52"/>
        <v>54193.280000000006</v>
      </c>
      <c r="H159" s="604">
        <f t="shared" si="53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1"/>
        <v>-8771.3200000000015</v>
      </c>
      <c r="G160" s="556">
        <f t="shared" si="52"/>
        <v>57017.32</v>
      </c>
      <c r="H160" s="604">
        <f t="shared" si="53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1"/>
        <v>-10069.200000000003</v>
      </c>
      <c r="G161" s="556">
        <f t="shared" si="52"/>
        <v>65309.200000000004</v>
      </c>
      <c r="H161" s="604">
        <f t="shared" si="53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1"/>
        <v>-10289.249999999993</v>
      </c>
      <c r="G162" s="556">
        <f t="shared" si="52"/>
        <v>72119.25</v>
      </c>
      <c r="H162" s="604">
        <f t="shared" si="53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1"/>
        <v>-11755.169999999996</v>
      </c>
      <c r="G163" s="556">
        <f t="shared" si="52"/>
        <v>74735.17</v>
      </c>
      <c r="H163" s="604">
        <f t="shared" si="53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1"/>
        <v>-8821.7999999999993</v>
      </c>
      <c r="G164" s="556">
        <f t="shared" si="52"/>
        <v>71956.800000000003</v>
      </c>
      <c r="H164" s="604">
        <f t="shared" si="53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1"/>
        <v>-6552.0000000000064</v>
      </c>
      <c r="G165" s="556">
        <f t="shared" si="52"/>
        <v>64632.000000000007</v>
      </c>
      <c r="H165" s="604">
        <f t="shared" si="53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1"/>
        <v>-7832.0000000000082</v>
      </c>
      <c r="G166" s="556">
        <f t="shared" si="52"/>
        <v>64632.000000000007</v>
      </c>
      <c r="H166" s="604">
        <f t="shared" si="53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1"/>
        <v>-3677.4000000000024</v>
      </c>
      <c r="G167" s="556">
        <f t="shared" si="52"/>
        <v>34737.4</v>
      </c>
      <c r="H167" s="604">
        <f t="shared" si="53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1"/>
        <v>-3622.5999999999985</v>
      </c>
      <c r="G168" s="556">
        <f t="shared" si="52"/>
        <v>34662.6</v>
      </c>
      <c r="H168" s="604">
        <f t="shared" si="53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1"/>
        <v>-3122.5999999999985</v>
      </c>
      <c r="G169" s="556">
        <f t="shared" si="52"/>
        <v>34662.6</v>
      </c>
      <c r="H169" s="604">
        <f t="shared" si="53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1"/>
        <v>-2162.5999999999976</v>
      </c>
      <c r="G170" s="556">
        <f t="shared" si="52"/>
        <v>34662.6</v>
      </c>
      <c r="H170" s="604">
        <f t="shared" si="53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1"/>
        <v>-2282.5999999999949</v>
      </c>
      <c r="G171" s="556">
        <f t="shared" si="52"/>
        <v>34662.6</v>
      </c>
      <c r="H171" s="604">
        <f t="shared" si="53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1"/>
        <v>-2262.599999999999</v>
      </c>
      <c r="G172" s="556">
        <f t="shared" si="52"/>
        <v>34662.6</v>
      </c>
      <c r="H172" s="604">
        <f t="shared" si="53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1"/>
        <v>-842.59999999999741</v>
      </c>
      <c r="G173" s="556">
        <f t="shared" si="52"/>
        <v>34662.6</v>
      </c>
      <c r="H173" s="604">
        <f t="shared" si="53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1"/>
        <v>-1182.6000000000008</v>
      </c>
      <c r="G174" s="556">
        <f t="shared" si="52"/>
        <v>34662.6</v>
      </c>
      <c r="H174" s="604">
        <f t="shared" si="53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1"/>
        <v>-1262.599999999999</v>
      </c>
      <c r="G175" s="556">
        <f t="shared" si="52"/>
        <v>34662.6</v>
      </c>
      <c r="H175" s="604">
        <f t="shared" si="53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1"/>
        <v>-527.79999999999916</v>
      </c>
      <c r="G176" s="556">
        <f t="shared" si="52"/>
        <v>34547.800000000003</v>
      </c>
      <c r="H176" s="604">
        <f t="shared" si="53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1"/>
        <v>-148.00000000000324</v>
      </c>
      <c r="G177" s="556">
        <f t="shared" si="52"/>
        <v>34468</v>
      </c>
      <c r="H177" s="604">
        <f t="shared" si="53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1"/>
        <v>421.79999999999751</v>
      </c>
      <c r="G178" s="556">
        <f t="shared" si="52"/>
        <v>25753.200000000001</v>
      </c>
      <c r="H178" s="604">
        <f t="shared" si="53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1"/>
        <v>-655.79999999999927</v>
      </c>
      <c r="G179" s="556">
        <f t="shared" si="52"/>
        <v>34275.799999999996</v>
      </c>
      <c r="H179" s="604">
        <f t="shared" si="53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1"/>
        <v>24.200000000000443</v>
      </c>
      <c r="G180" s="556">
        <f t="shared" si="52"/>
        <v>34275.799999999996</v>
      </c>
      <c r="H180" s="604">
        <f t="shared" si="53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1"/>
        <v>-748.650000000001</v>
      </c>
      <c r="G181" s="556">
        <f t="shared" si="52"/>
        <v>35923.65</v>
      </c>
      <c r="H181" s="604">
        <f t="shared" si="53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1"/>
        <v>-370.65000000000163</v>
      </c>
      <c r="G182" s="556">
        <f t="shared" si="52"/>
        <v>35923.65</v>
      </c>
      <c r="H182" s="604">
        <f t="shared" si="53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1"/>
        <v>721.34999999999752</v>
      </c>
      <c r="G183" s="556">
        <f t="shared" si="52"/>
        <v>35923.65</v>
      </c>
      <c r="H183" s="604">
        <f t="shared" si="53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1"/>
        <v>784.34999999999991</v>
      </c>
      <c r="G184" s="556">
        <f t="shared" si="52"/>
        <v>35923.65</v>
      </c>
      <c r="H184" s="604">
        <f t="shared" si="53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1"/>
        <v>-328.71300000000014</v>
      </c>
      <c r="G185" s="556">
        <f t="shared" si="52"/>
        <v>35923.712999999996</v>
      </c>
      <c r="H185" s="604">
        <f t="shared" si="53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1"/>
        <v>1147.1040000000016</v>
      </c>
      <c r="G186" s="556">
        <f t="shared" si="52"/>
        <v>27108.895999999997</v>
      </c>
      <c r="H186" s="604">
        <f t="shared" si="53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1"/>
        <v>1035.1040000000012</v>
      </c>
      <c r="G187" s="556">
        <f t="shared" si="52"/>
        <v>27108.895999999997</v>
      </c>
      <c r="H187" s="604">
        <f t="shared" si="53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1"/>
        <v>1691.1040000000014</v>
      </c>
      <c r="G188" s="556">
        <f t="shared" si="52"/>
        <v>27108.895999999997</v>
      </c>
      <c r="H188" s="604">
        <f t="shared" si="53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1"/>
        <v>829.27800000000434</v>
      </c>
      <c r="G189" s="556">
        <f t="shared" si="52"/>
        <v>30562.721999999998</v>
      </c>
      <c r="H189" s="604">
        <f t="shared" si="53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1"/>
        <v>1441.2780000000041</v>
      </c>
      <c r="G190" s="556">
        <f t="shared" si="52"/>
        <v>30562.721999999998</v>
      </c>
      <c r="H190" s="604">
        <f t="shared" si="53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1"/>
        <v>1621.2799999999988</v>
      </c>
      <c r="G191" s="556">
        <f t="shared" si="52"/>
        <v>33978.720000000001</v>
      </c>
      <c r="H191" s="604">
        <f t="shared" si="53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1"/>
        <v>1421.2799999999959</v>
      </c>
      <c r="G192" s="556">
        <f t="shared" si="52"/>
        <v>33978.720000000001</v>
      </c>
      <c r="H192" s="604">
        <f t="shared" si="53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1"/>
        <v>987.2939999999993</v>
      </c>
      <c r="G193" s="556">
        <f t="shared" si="52"/>
        <v>37314.705999999998</v>
      </c>
      <c r="H193" s="604">
        <f t="shared" si="53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1"/>
        <v>563.20000000000186</v>
      </c>
      <c r="G194" s="556">
        <f t="shared" si="52"/>
        <v>33866.799999999996</v>
      </c>
      <c r="H194" s="604">
        <f t="shared" si="53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4">-C195*(D195-E195)</f>
        <v>13.200000000004763</v>
      </c>
      <c r="G195" s="556">
        <f t="shared" ref="G195:G200" si="55">IF(C195=0, 0,D195*C195)</f>
        <v>33866.799999999996</v>
      </c>
      <c r="H195" s="604">
        <f t="shared" ref="H195:H200" si="56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4"/>
        <v>1215.1259999999966</v>
      </c>
      <c r="G196" s="556">
        <f t="shared" si="55"/>
        <v>30356.874000000003</v>
      </c>
      <c r="H196" s="604">
        <f t="shared" si="56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4"/>
        <v>1490.8199999999993</v>
      </c>
      <c r="G197" s="556">
        <f t="shared" si="55"/>
        <v>16149.18</v>
      </c>
      <c r="H197" s="604">
        <f t="shared" si="56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4"/>
        <v>1396.8179999999988</v>
      </c>
      <c r="G198" s="556">
        <f t="shared" si="55"/>
        <v>30157.182000000004</v>
      </c>
      <c r="H198" s="604">
        <f t="shared" si="56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4"/>
        <v>1418.8200000000038</v>
      </c>
      <c r="G199" s="556">
        <f t="shared" si="55"/>
        <v>33641.18</v>
      </c>
      <c r="H199" s="604">
        <f t="shared" si="56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4"/>
        <v>894.66600000000085</v>
      </c>
      <c r="G200" s="556">
        <f t="shared" si="55"/>
        <v>33505.333999999995</v>
      </c>
      <c r="H200" s="604">
        <f t="shared" si="56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7">-C203*(D203-E203)</f>
        <v>-135.39999999999708</v>
      </c>
      <c r="G203" s="556">
        <f t="shared" ref="G203:G214" si="58">IF(C203=0, 0,D203*C203)</f>
        <v>33485.4</v>
      </c>
      <c r="H203" s="604">
        <f t="shared" ref="H203:H214" si="59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7"/>
        <v>-85.39999999999992</v>
      </c>
      <c r="G204" s="556">
        <f t="shared" si="58"/>
        <v>33445.4</v>
      </c>
      <c r="H204" s="604">
        <f t="shared" si="59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7"/>
        <v>6304.4477999999999</v>
      </c>
      <c r="G205" s="556">
        <f t="shared" si="58"/>
        <v>29929.552199999998</v>
      </c>
      <c r="H205" s="604">
        <f t="shared" si="59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7"/>
        <v>6185.8829999999971</v>
      </c>
      <c r="G206" s="556">
        <f t="shared" si="58"/>
        <v>26913.117000000002</v>
      </c>
      <c r="H206" s="604">
        <f t="shared" si="59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7"/>
        <v>3488.9400000000032</v>
      </c>
      <c r="G207" s="556">
        <f t="shared" si="58"/>
        <v>29775.059999999998</v>
      </c>
      <c r="H207" s="604">
        <f t="shared" si="59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7"/>
        <v>3544.800000000002</v>
      </c>
      <c r="G208" s="556">
        <f t="shared" si="58"/>
        <v>33415.199999999997</v>
      </c>
      <c r="H208" s="604">
        <f t="shared" si="59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7"/>
        <v>4164.8400000000011</v>
      </c>
      <c r="G209" s="556">
        <f t="shared" si="58"/>
        <v>29657.159999999996</v>
      </c>
      <c r="H209" s="604">
        <f t="shared" si="59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7"/>
        <v>4696.7399999999952</v>
      </c>
      <c r="G210" s="556">
        <f t="shared" si="58"/>
        <v>29611.260000000002</v>
      </c>
      <c r="H210" s="604">
        <f t="shared" si="59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7"/>
        <v>6995.4000000000015</v>
      </c>
      <c r="G211" s="556">
        <f t="shared" si="58"/>
        <v>13444.599999999999</v>
      </c>
      <c r="H211" s="604">
        <f t="shared" si="59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7"/>
        <v>6822.3599999999979</v>
      </c>
      <c r="G212" s="556">
        <f t="shared" si="58"/>
        <v>29213.640000000003</v>
      </c>
      <c r="H212" s="604">
        <f t="shared" si="59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7"/>
        <v>6817.7999999999993</v>
      </c>
      <c r="G213" s="556">
        <f t="shared" si="58"/>
        <v>26215.200000000001</v>
      </c>
      <c r="H213" s="604">
        <f t="shared" si="59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7"/>
        <v>7021.4999999999991</v>
      </c>
      <c r="G214" s="556">
        <f t="shared" si="58"/>
        <v>24180</v>
      </c>
      <c r="H214" s="604">
        <f t="shared" si="59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0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1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0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1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0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1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0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1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0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1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0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1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0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1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0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1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0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1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0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1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0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1"/>
        <v>1795</v>
      </c>
      <c r="G243" s="702">
        <v>42314</v>
      </c>
      <c r="H243" s="259">
        <v>2200</v>
      </c>
      <c r="I243" s="260">
        <v>17.55</v>
      </c>
      <c r="J243" s="260">
        <v>0.77</v>
      </c>
      <c r="K243" s="260">
        <f t="shared" si="60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1"/>
        <v>1241.5</v>
      </c>
      <c r="G244" s="702"/>
      <c r="H244" s="259">
        <v>190</v>
      </c>
      <c r="I244" s="260">
        <v>17.55</v>
      </c>
      <c r="J244" s="260">
        <v>0</v>
      </c>
      <c r="K244" s="260">
        <f t="shared" si="60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1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0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1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0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1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0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1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0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1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0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1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0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1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0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1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0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1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0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1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0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1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0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1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0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1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0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1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0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1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0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1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0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1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0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1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0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1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0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1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0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1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0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1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0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1"/>
        <v>1610.0000000000002</v>
      </c>
      <c r="G267" s="702">
        <v>42447</v>
      </c>
      <c r="H267" s="265">
        <v>355</v>
      </c>
      <c r="I267" s="260">
        <v>11.13</v>
      </c>
      <c r="J267" s="260">
        <v>0.12</v>
      </c>
      <c r="K267" s="260">
        <f t="shared" si="60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1"/>
        <v>13119.999999999998</v>
      </c>
      <c r="G268" s="702"/>
      <c r="H268" s="265">
        <v>40</v>
      </c>
      <c r="I268" s="260">
        <v>11.13</v>
      </c>
      <c r="J268" s="260">
        <v>0</v>
      </c>
      <c r="K268" s="260">
        <f t="shared" si="60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1"/>
        <v>7900</v>
      </c>
      <c r="G269" s="702"/>
      <c r="H269" s="265">
        <v>105</v>
      </c>
      <c r="I269" s="260">
        <v>11.13</v>
      </c>
      <c r="J269" s="260">
        <v>0</v>
      </c>
      <c r="K269" s="260">
        <f t="shared" si="60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1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0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1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0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1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0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1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0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1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0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1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0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1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0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1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0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1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0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1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0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1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0"/>
        <v>19519.57</v>
      </c>
      <c r="L280" s="259"/>
      <c r="M280" s="259"/>
    </row>
    <row r="281" spans="1:13" x14ac:dyDescent="0.25">
      <c r="A281" s="259"/>
      <c r="B281" s="701">
        <v>42317</v>
      </c>
      <c r="C281" s="259">
        <v>190</v>
      </c>
      <c r="D281" s="260">
        <v>17.100000000000001</v>
      </c>
      <c r="E281" s="260">
        <v>0</v>
      </c>
      <c r="F281" s="260">
        <f t="shared" si="61"/>
        <v>3249.0000000000005</v>
      </c>
      <c r="G281" s="702">
        <v>42510</v>
      </c>
      <c r="H281" s="265">
        <v>240</v>
      </c>
      <c r="I281" s="260">
        <v>10.75</v>
      </c>
      <c r="J281" s="260">
        <v>0.12</v>
      </c>
      <c r="K281" s="260">
        <f t="shared" si="60"/>
        <v>2579.88</v>
      </c>
      <c r="L281" s="259"/>
      <c r="M281" s="259"/>
    </row>
    <row r="282" spans="1:13" x14ac:dyDescent="0.25">
      <c r="A282" s="259"/>
      <c r="B282" s="701"/>
      <c r="C282" s="259">
        <v>2</v>
      </c>
      <c r="D282" s="260">
        <v>17.100000000000001</v>
      </c>
      <c r="E282" s="260">
        <v>0</v>
      </c>
      <c r="F282" s="260">
        <f t="shared" si="61"/>
        <v>34.200000000000003</v>
      </c>
      <c r="G282" s="702"/>
      <c r="H282" s="265">
        <v>260</v>
      </c>
      <c r="I282" s="260">
        <v>10.75</v>
      </c>
      <c r="J282" s="260">
        <v>0</v>
      </c>
      <c r="K282" s="260">
        <f t="shared" si="60"/>
        <v>2795</v>
      </c>
      <c r="L282" s="259"/>
      <c r="M282" s="259"/>
    </row>
    <row r="283" spans="1:13" x14ac:dyDescent="0.25">
      <c r="A283" s="259"/>
      <c r="B283" s="701">
        <v>42318</v>
      </c>
      <c r="C283" s="259">
        <v>8</v>
      </c>
      <c r="D283" s="260">
        <v>16.989999999999998</v>
      </c>
      <c r="E283" s="260">
        <v>0</v>
      </c>
      <c r="F283" s="260">
        <f t="shared" si="61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0"/>
        <v>5684.88</v>
      </c>
      <c r="L283" s="259"/>
      <c r="M283" s="259"/>
    </row>
    <row r="284" spans="1:13" x14ac:dyDescent="0.25">
      <c r="A284" s="259"/>
      <c r="B284" s="701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0"/>
        <v>5769.87</v>
      </c>
      <c r="L284" s="259"/>
      <c r="M284" s="259"/>
    </row>
    <row r="285" spans="1:13" x14ac:dyDescent="0.25">
      <c r="A285" s="259"/>
      <c r="B285" s="701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0"/>
        <v>5879.87</v>
      </c>
      <c r="L285" s="259"/>
      <c r="M285" s="259"/>
    </row>
    <row r="286" spans="1:13" x14ac:dyDescent="0.25">
      <c r="A286" s="259"/>
      <c r="B286" s="701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0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2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0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2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0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2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0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2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0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2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2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2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2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2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2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2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2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2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2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2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2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2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2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2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2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2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2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2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2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2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2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2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2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2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2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2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2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2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2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2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3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2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3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2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3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2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2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2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2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2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2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2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2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2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2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2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2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2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2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2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2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2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3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2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3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2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3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2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3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2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3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2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3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2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3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2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2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2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2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4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5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4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5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4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5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4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5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4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5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4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5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4"/>
        <v>7224.84</v>
      </c>
      <c r="L356" s="259"/>
      <c r="M356" s="704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5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4"/>
        <v>7439.84</v>
      </c>
      <c r="L357" s="259"/>
      <c r="M357" s="704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5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4"/>
        <v>7489.84</v>
      </c>
      <c r="L358" s="259"/>
      <c r="M358" s="704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5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4"/>
        <v>7739.83</v>
      </c>
      <c r="L359" s="259"/>
      <c r="M359" s="704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5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4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5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4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5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4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5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4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5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4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5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4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5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4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5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4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5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4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5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4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5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4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5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4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5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4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5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4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5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4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5"/>
        <v>0</v>
      </c>
      <c r="G375" s="700" t="s">
        <v>324</v>
      </c>
      <c r="H375" s="259">
        <v>100</v>
      </c>
      <c r="I375" s="260">
        <v>19.68</v>
      </c>
      <c r="J375" s="260">
        <v>0.04</v>
      </c>
      <c r="K375" s="260">
        <f t="shared" si="64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5"/>
        <v>0</v>
      </c>
      <c r="G376" s="700"/>
      <c r="H376" s="259">
        <v>200</v>
      </c>
      <c r="I376" s="260">
        <v>19.88</v>
      </c>
      <c r="J376" s="260">
        <v>0.09</v>
      </c>
      <c r="K376" s="260">
        <f t="shared" si="64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5"/>
        <v>0</v>
      </c>
      <c r="G377" s="700"/>
      <c r="H377" s="259">
        <v>200</v>
      </c>
      <c r="I377" s="260">
        <v>20.32</v>
      </c>
      <c r="J377" s="260">
        <v>0.09</v>
      </c>
      <c r="K377" s="260">
        <f t="shared" si="64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5"/>
        <v>0</v>
      </c>
      <c r="G378" s="700"/>
      <c r="H378" s="259">
        <v>300</v>
      </c>
      <c r="I378" s="260">
        <v>20.53</v>
      </c>
      <c r="J378" s="260">
        <v>0.13</v>
      </c>
      <c r="K378" s="260">
        <f t="shared" si="64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4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4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4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4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6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6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6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6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6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6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7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7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7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7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7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9">
    <mergeCell ref="M356:M359"/>
    <mergeCell ref="G243:G244"/>
    <mergeCell ref="G267:G269"/>
    <mergeCell ref="G13:G14"/>
    <mergeCell ref="G375:G378"/>
    <mergeCell ref="B281:B282"/>
    <mergeCell ref="G281:G282"/>
    <mergeCell ref="B283:B286"/>
    <mergeCell ref="A322:A324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3" priority="93">
      <formula>F70&gt;0</formula>
    </cfRule>
    <cfRule type="expression" dxfId="672" priority="94">
      <formula>F70&lt;0</formula>
    </cfRule>
  </conditionalFormatting>
  <conditionalFormatting sqref="H70:H81">
    <cfRule type="expression" dxfId="671" priority="85">
      <formula>H70&gt;0</formula>
    </cfRule>
    <cfRule type="expression" dxfId="670" priority="86">
      <formula>H70&lt;0</formula>
    </cfRule>
  </conditionalFormatting>
  <conditionalFormatting sqref="H82">
    <cfRule type="expression" dxfId="669" priority="75">
      <formula>H82&gt;0</formula>
    </cfRule>
    <cfRule type="expression" dxfId="668" priority="76">
      <formula>H82&lt;0</formula>
    </cfRule>
  </conditionalFormatting>
  <conditionalFormatting sqref="H83">
    <cfRule type="expression" dxfId="667" priority="71">
      <formula>H83&gt;0</formula>
    </cfRule>
    <cfRule type="expression" dxfId="666" priority="72">
      <formula>H83&lt;0</formula>
    </cfRule>
  </conditionalFormatting>
  <conditionalFormatting sqref="H84:H89">
    <cfRule type="expression" dxfId="665" priority="67">
      <formula>H84&gt;0</formula>
    </cfRule>
    <cfRule type="expression" dxfId="664" priority="68">
      <formula>H84&lt;0</formula>
    </cfRule>
  </conditionalFormatting>
  <conditionalFormatting sqref="Q8">
    <cfRule type="expression" dxfId="663" priority="51">
      <formula>Q8&gt;0</formula>
    </cfRule>
    <cfRule type="expression" dxfId="662" priority="52">
      <formula>Q8&lt;0</formula>
    </cfRule>
  </conditionalFormatting>
  <conditionalFormatting sqref="Q7">
    <cfRule type="expression" dxfId="661" priority="53">
      <formula>Q7&gt;0</formula>
    </cfRule>
    <cfRule type="expression" dxfId="660" priority="54">
      <formula>Q7&lt;0</formula>
    </cfRule>
  </conditionalFormatting>
  <conditionalFormatting sqref="F201 H201">
    <cfRule type="expression" dxfId="659" priority="49">
      <formula>F201&gt;0</formula>
    </cfRule>
    <cfRule type="expression" dxfId="658" priority="50">
      <formula>F201&lt;0</formula>
    </cfRule>
  </conditionalFormatting>
  <conditionalFormatting sqref="F30:F67">
    <cfRule type="expression" dxfId="657" priority="47">
      <formula>F30&gt;0</formula>
    </cfRule>
    <cfRule type="expression" dxfId="656" priority="48">
      <formula>F30&lt;0</formula>
    </cfRule>
  </conditionalFormatting>
  <conditionalFormatting sqref="H30:H67">
    <cfRule type="expression" dxfId="655" priority="45">
      <formula>H30&gt;0</formula>
    </cfRule>
    <cfRule type="expression" dxfId="654" priority="46">
      <formula>H30&lt;0</formula>
    </cfRule>
  </conditionalFormatting>
  <conditionalFormatting sqref="Q10">
    <cfRule type="expression" dxfId="653" priority="43">
      <formula>Q10&gt;0</formula>
    </cfRule>
    <cfRule type="expression" dxfId="652" priority="44">
      <formula>Q10&lt;0</formula>
    </cfRule>
  </conditionalFormatting>
  <conditionalFormatting sqref="J37">
    <cfRule type="expression" dxfId="651" priority="41">
      <formula>J37&gt;0</formula>
    </cfRule>
    <cfRule type="expression" dxfId="650" priority="42">
      <formula>J37&lt;0</formula>
    </cfRule>
  </conditionalFormatting>
  <conditionalFormatting sqref="J43:J44">
    <cfRule type="expression" dxfId="649" priority="39">
      <formula>J43&gt;0</formula>
    </cfRule>
    <cfRule type="expression" dxfId="648" priority="40">
      <formula>J43&lt;0</formula>
    </cfRule>
  </conditionalFormatting>
  <conditionalFormatting sqref="Q9">
    <cfRule type="expression" dxfId="647" priority="37">
      <formula>Q9&gt;0</formula>
    </cfRule>
    <cfRule type="expression" dxfId="646" priority="38">
      <formula>Q9&lt;0</formula>
    </cfRule>
  </conditionalFormatting>
  <conditionalFormatting sqref="J45">
    <cfRule type="expression" dxfId="645" priority="35">
      <formula>J45&gt;0</formula>
    </cfRule>
    <cfRule type="expression" dxfId="644" priority="36">
      <formula>J45&lt;0</formula>
    </cfRule>
  </conditionalFormatting>
  <conditionalFormatting sqref="J46:J48 J50:J53">
    <cfRule type="expression" dxfId="643" priority="33">
      <formula>J46&gt;0</formula>
    </cfRule>
    <cfRule type="expression" dxfId="642" priority="34">
      <formula>J46&lt;0</formula>
    </cfRule>
  </conditionalFormatting>
  <conditionalFormatting sqref="K37">
    <cfRule type="expression" dxfId="641" priority="31">
      <formula>K37&gt;0</formula>
    </cfRule>
    <cfRule type="expression" dxfId="640" priority="32">
      <formula>K37&lt;0</formula>
    </cfRule>
  </conditionalFormatting>
  <conditionalFormatting sqref="K43:K44">
    <cfRule type="expression" dxfId="639" priority="29">
      <formula>K43&gt;0</formula>
    </cfRule>
    <cfRule type="expression" dxfId="638" priority="30">
      <formula>K43&lt;0</formula>
    </cfRule>
  </conditionalFormatting>
  <conditionalFormatting sqref="K45">
    <cfRule type="expression" dxfId="637" priority="27">
      <formula>K45&gt;0</formula>
    </cfRule>
    <cfRule type="expression" dxfId="636" priority="28">
      <formula>K45&lt;0</formula>
    </cfRule>
  </conditionalFormatting>
  <conditionalFormatting sqref="K46:K53">
    <cfRule type="expression" dxfId="635" priority="25">
      <formula>K46&gt;0</formula>
    </cfRule>
    <cfRule type="expression" dxfId="634" priority="26">
      <formula>K46&lt;0</formula>
    </cfRule>
  </conditionalFormatting>
  <conditionalFormatting sqref="L37">
    <cfRule type="expression" dxfId="633" priority="23">
      <formula>L37&gt;0</formula>
    </cfRule>
    <cfRule type="expression" dxfId="632" priority="24">
      <formula>L37&lt;0</formula>
    </cfRule>
  </conditionalFormatting>
  <conditionalFormatting sqref="L43:L44">
    <cfRule type="expression" dxfId="631" priority="21">
      <formula>L43&gt;0</formula>
    </cfRule>
    <cfRule type="expression" dxfId="630" priority="22">
      <formula>L43&lt;0</formula>
    </cfRule>
  </conditionalFormatting>
  <conditionalFormatting sqref="L45">
    <cfRule type="expression" dxfId="629" priority="19">
      <formula>L45&gt;0</formula>
    </cfRule>
    <cfRule type="expression" dxfId="628" priority="20">
      <formula>L45&lt;0</formula>
    </cfRule>
  </conditionalFormatting>
  <conditionalFormatting sqref="L46:L53">
    <cfRule type="expression" dxfId="627" priority="17">
      <formula>L46&gt;0</formula>
    </cfRule>
    <cfRule type="expression" dxfId="626" priority="18">
      <formula>L46&lt;0</formula>
    </cfRule>
  </conditionalFormatting>
  <conditionalFormatting sqref="K54">
    <cfRule type="expression" dxfId="625" priority="15">
      <formula>K54&gt;0</formula>
    </cfRule>
    <cfRule type="expression" dxfId="624" priority="16">
      <formula>K54&lt;0</formula>
    </cfRule>
  </conditionalFormatting>
  <conditionalFormatting sqref="L54:L61">
    <cfRule type="expression" dxfId="623" priority="13">
      <formula>L54&gt;0</formula>
    </cfRule>
    <cfRule type="expression" dxfId="622" priority="14">
      <formula>L54&lt;0</formula>
    </cfRule>
  </conditionalFormatting>
  <conditionalFormatting sqref="K55">
    <cfRule type="expression" dxfId="621" priority="11">
      <formula>K55&gt;0</formula>
    </cfRule>
    <cfRule type="expression" dxfId="620" priority="12">
      <formula>K55&lt;0</formula>
    </cfRule>
  </conditionalFormatting>
  <conditionalFormatting sqref="K56">
    <cfRule type="expression" dxfId="619" priority="5">
      <formula>K56&gt;0</formula>
    </cfRule>
    <cfRule type="expression" dxfId="618" priority="6">
      <formula>K56&lt;0</formula>
    </cfRule>
  </conditionalFormatting>
  <conditionalFormatting sqref="K57:K67">
    <cfRule type="expression" dxfId="617" priority="3">
      <formula>K57&gt;0</formula>
    </cfRule>
    <cfRule type="expression" dxfId="616" priority="4">
      <formula>K57&lt;0</formula>
    </cfRule>
  </conditionalFormatting>
  <conditionalFormatting sqref="L62:L66">
    <cfRule type="expression" dxfId="615" priority="1">
      <formula>L62&gt;0</formula>
    </cfRule>
    <cfRule type="expression" dxfId="614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53.88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53.88</v>
      </c>
      <c r="R4" s="516">
        <v>1.89E-2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697" t="s">
        <v>78</v>
      </c>
      <c r="P40" s="697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59.268000000000008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58.729200000000006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58.190400000000004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57.651600000000009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57.112800000000007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56.574000000000005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56.035200000000003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55.496400000000001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54.957600000000006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54.418800000000005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53.88</v>
      </c>
      <c r="Q51" s="2"/>
      <c r="T51" s="86" t="s">
        <v>104</v>
      </c>
      <c r="U51" s="87" t="s">
        <v>674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53.341200000000001</v>
      </c>
      <c r="Q52" s="2"/>
      <c r="T52" s="86" t="s">
        <v>105</v>
      </c>
      <c r="U52" s="87" t="s">
        <v>541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52.802399999999999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52.263600000000004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51.724800000000002</v>
      </c>
      <c r="T55" s="86" t="s">
        <v>107</v>
      </c>
      <c r="U55" s="87" t="s">
        <v>675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51.186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50.647199999999998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50.108400000000003</v>
      </c>
      <c r="T58" s="86" t="s">
        <v>108</v>
      </c>
      <c r="U58" s="87" t="s">
        <v>593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49.569600000000001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49.030800000000006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48.492000000000004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3" priority="11">
      <formula>F27&gt;0</formula>
    </cfRule>
    <cfRule type="expression" dxfId="612" priority="12">
      <formula>F27&lt;0</formula>
    </cfRule>
  </conditionalFormatting>
  <conditionalFormatting sqref="H27:H29">
    <cfRule type="expression" dxfId="611" priority="9">
      <formula>H27&gt;0</formula>
    </cfRule>
    <cfRule type="expression" dxfId="610" priority="10">
      <formula>H27&lt;0</formula>
    </cfRule>
  </conditionalFormatting>
  <conditionalFormatting sqref="F23:F26">
    <cfRule type="expression" dxfId="609" priority="7">
      <formula>F23&gt;0</formula>
    </cfRule>
    <cfRule type="expression" dxfId="608" priority="8">
      <formula>F23&lt;0</formula>
    </cfRule>
  </conditionalFormatting>
  <conditionalFormatting sqref="H23:H26">
    <cfRule type="expression" dxfId="607" priority="5">
      <formula>H23&gt;0</formula>
    </cfRule>
    <cfRule type="expression" dxfId="606" priority="6">
      <formula>H23&lt;0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36.119999999999997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36.119999999999997</v>
      </c>
      <c r="R4" s="516">
        <v>2.9999999999999997E-4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697" t="s">
        <v>78</v>
      </c>
      <c r="P40" s="697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39.731999999999999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39.370800000000003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39.009599999999999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38.648400000000002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38.287199999999999</v>
      </c>
      <c r="Q45" s="2"/>
      <c r="T45" s="86" t="s">
        <v>99</v>
      </c>
      <c r="U45" s="87" t="s">
        <v>676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37.926000000000002</v>
      </c>
      <c r="Q46" s="2"/>
      <c r="T46" s="86" t="s">
        <v>100</v>
      </c>
      <c r="U46" s="87" t="s">
        <v>677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37.564799999999998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37.203600000000002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36.842399999999998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36.481200000000001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36.119999999999997</v>
      </c>
      <c r="Q51" s="2"/>
      <c r="T51" s="86" t="s">
        <v>104</v>
      </c>
      <c r="U51" s="87" t="s">
        <v>678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35.758799999999994</v>
      </c>
      <c r="Q52" s="2"/>
      <c r="T52" s="86" t="s">
        <v>105</v>
      </c>
      <c r="U52" s="87" t="s">
        <v>552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35.397599999999997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35.036399999999993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34.675199999999997</v>
      </c>
      <c r="T55" s="86" t="s">
        <v>107</v>
      </c>
      <c r="U55" s="87" t="s">
        <v>679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34.313999999999993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33.952799999999996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33.5916</v>
      </c>
      <c r="T58" s="86" t="s">
        <v>108</v>
      </c>
      <c r="U58" s="87" t="s">
        <v>594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33.230399999999996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32.869199999999999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32.507999999999996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1" priority="7">
      <formula>F21&gt;0</formula>
    </cfRule>
    <cfRule type="expression" dxfId="600" priority="8">
      <formula>F21&lt;0</formula>
    </cfRule>
  </conditionalFormatting>
  <conditionalFormatting sqref="F22">
    <cfRule type="expression" dxfId="599" priority="5">
      <formula>F22&gt;0</formula>
    </cfRule>
    <cfRule type="expression" dxfId="598" priority="6">
      <formula>F22&lt;0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46.65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46.65</v>
      </c>
      <c r="R4" s="498">
        <v>1.66E-2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697" t="s">
        <v>78</v>
      </c>
      <c r="P44" s="697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51.315000000000005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50.848500000000001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50.382000000000005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49.915500000000002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49.448999999999998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48.982500000000002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48.515999999999998</v>
      </c>
      <c r="Q51" s="2"/>
      <c r="R51" s="34"/>
      <c r="T51" s="107" t="s">
        <v>104</v>
      </c>
      <c r="U51" s="105" t="s">
        <v>680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48.049500000000002</v>
      </c>
      <c r="Q52" s="2"/>
      <c r="R52" s="34"/>
      <c r="T52" s="107" t="s">
        <v>105</v>
      </c>
      <c r="U52" s="105" t="s">
        <v>570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47.582999999999998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47.116500000000002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46.65</v>
      </c>
      <c r="Q55" s="2"/>
      <c r="R55" s="34"/>
      <c r="T55" s="107" t="s">
        <v>107</v>
      </c>
      <c r="U55" s="105" t="s">
        <v>681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46.183499999999995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45.716999999999999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45.250499999999995</v>
      </c>
      <c r="Q58" s="2"/>
      <c r="R58" s="34"/>
      <c r="T58" s="107" t="s">
        <v>108</v>
      </c>
      <c r="U58" s="105" t="s">
        <v>595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44.783999999999999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44.317499999999995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43.850999999999999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43.384500000000003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42.917999999999999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42.451500000000003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41.984999999999999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3" priority="17">
      <formula>F38&gt;0</formula>
    </cfRule>
    <cfRule type="expression" dxfId="592" priority="18">
      <formula>F38&lt;0</formula>
    </cfRule>
  </conditionalFormatting>
  <conditionalFormatting sqref="H38:H72">
    <cfRule type="expression" dxfId="591" priority="9">
      <formula>H38&gt;0</formula>
    </cfRule>
    <cfRule type="expression" dxfId="590" priority="10">
      <formula>H38&lt;0</formula>
    </cfRule>
  </conditionalFormatting>
  <conditionalFormatting sqref="F21:F37">
    <cfRule type="expression" dxfId="589" priority="7">
      <formula>F21&gt;0</formula>
    </cfRule>
    <cfRule type="expression" dxfId="588" priority="8">
      <formula>F21&lt;0</formula>
    </cfRule>
  </conditionalFormatting>
  <conditionalFormatting sqref="H21:H37">
    <cfRule type="expression" dxfId="587" priority="5">
      <formula>H21&gt;0</formula>
    </cfRule>
    <cfRule type="expression" dxfId="586" priority="6">
      <formula>H21&lt;0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110.59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110.59</v>
      </c>
      <c r="R4" s="516">
        <v>2.5999999999999999E-3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697" t="s">
        <v>78</v>
      </c>
      <c r="P46" s="697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121.64900000000002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120.54310000000001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119.43720000000002</v>
      </c>
      <c r="Q49" s="34"/>
      <c r="R49"/>
      <c r="T49" s="86" t="s">
        <v>103</v>
      </c>
      <c r="U49" s="93" t="s">
        <v>682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118.33130000000001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117.22540000000001</v>
      </c>
      <c r="Q51" s="82"/>
      <c r="R51"/>
      <c r="T51" s="86" t="s">
        <v>104</v>
      </c>
      <c r="U51" s="129" t="s">
        <v>683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116.1195</v>
      </c>
      <c r="Q52" s="82"/>
      <c r="R52"/>
      <c r="T52" s="86" t="s">
        <v>105</v>
      </c>
      <c r="U52" s="129" t="s">
        <v>544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115.01360000000001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113.90770000000001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112.8018</v>
      </c>
      <c r="Q55" s="82"/>
      <c r="R55"/>
      <c r="T55" s="86" t="s">
        <v>107</v>
      </c>
      <c r="U55" s="129" t="s">
        <v>684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111.69590000000001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110.59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109.4841</v>
      </c>
      <c r="Q58" s="82"/>
      <c r="R58"/>
      <c r="T58" s="86" t="s">
        <v>108</v>
      </c>
      <c r="U58" s="129" t="s">
        <v>596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108.37820000000001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107.2723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106.1664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105.0605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103.9546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102.84870000000001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101.7428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100.63690000000001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99.531000000000006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1" priority="11">
      <formula>F24&gt;0</formula>
    </cfRule>
    <cfRule type="expression" dxfId="580" priority="12">
      <formula>F24&lt;0</formula>
    </cfRule>
  </conditionalFormatting>
  <conditionalFormatting sqref="H27:H30">
    <cfRule type="expression" dxfId="579" priority="9">
      <formula>H27&gt;0</formula>
    </cfRule>
    <cfRule type="expression" dxfId="578" priority="10">
      <formula>H27&lt;0</formula>
    </cfRule>
  </conditionalFormatting>
  <conditionalFormatting sqref="F25">
    <cfRule type="expression" dxfId="577" priority="7">
      <formula>F25&gt;0</formula>
    </cfRule>
    <cfRule type="expression" dxfId="576" priority="8">
      <formula>F25&lt;0</formula>
    </cfRule>
  </conditionalFormatting>
  <conditionalFormatting sqref="H24:H26">
    <cfRule type="expression" dxfId="575" priority="5">
      <formula>H24&gt;0</formula>
    </cfRule>
    <cfRule type="expression" dxfId="574" priority="6">
      <formula>H24&lt;0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50.93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50.93</v>
      </c>
      <c r="R4" s="517">
        <v>1.9199999999999998E-2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56.023000000000003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55.513700000000007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55.004400000000004</v>
      </c>
      <c r="R42" s="34"/>
      <c r="T42" s="86" t="s">
        <v>99</v>
      </c>
      <c r="U42" s="129" t="s">
        <v>685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54.495100000000001</v>
      </c>
      <c r="R43" s="82"/>
      <c r="T43" s="86" t="s">
        <v>100</v>
      </c>
      <c r="U43" s="129" t="s">
        <v>686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53.985800000000005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53.476500000000001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52.967199999999998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52.457900000000002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51.948599999999999</v>
      </c>
      <c r="R48" s="82"/>
      <c r="T48" s="86" t="s">
        <v>104</v>
      </c>
      <c r="U48" s="129" t="s">
        <v>687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51.439300000000003</v>
      </c>
      <c r="R49" s="82"/>
      <c r="T49" s="86" t="s">
        <v>105</v>
      </c>
      <c r="U49" s="129" t="s">
        <v>597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50.93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50.420699999999997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49.9114</v>
      </c>
      <c r="R52" s="82"/>
      <c r="T52" s="86" t="s">
        <v>107</v>
      </c>
      <c r="U52" s="129" t="s">
        <v>688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49.402099999999997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48.892800000000001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48.383499999999998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47.874199999999995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47.364900000000006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46.855600000000003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46.346299999999999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45.837000000000003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9" priority="17">
      <formula>F28&gt;0</formula>
    </cfRule>
    <cfRule type="expression" dxfId="568" priority="18">
      <formula>F28&lt;0</formula>
    </cfRule>
  </conditionalFormatting>
  <conditionalFormatting sqref="F28 F33:F35">
    <cfRule type="expression" dxfId="567" priority="19">
      <formula>F28&gt;0</formula>
    </cfRule>
    <cfRule type="expression" dxfId="566" priority="20">
      <formula>F28&lt;0</formula>
    </cfRule>
  </conditionalFormatting>
  <conditionalFormatting sqref="H28 H33:H35">
    <cfRule type="expression" dxfId="565" priority="15">
      <formula>H28&gt;0</formula>
    </cfRule>
    <cfRule type="expression" dxfId="564" priority="16">
      <formula>H28&lt;0</formula>
    </cfRule>
  </conditionalFormatting>
  <conditionalFormatting sqref="F21:F27">
    <cfRule type="expression" dxfId="563" priority="13">
      <formula>F21&gt;0</formula>
    </cfRule>
    <cfRule type="expression" dxfId="562" priority="14">
      <formula>F21&lt;0</formula>
    </cfRule>
  </conditionalFormatting>
  <conditionalFormatting sqref="H21:H27">
    <cfRule type="expression" dxfId="561" priority="11">
      <formula>H21&gt;0</formula>
    </cfRule>
    <cfRule type="expression" dxfId="560" priority="12">
      <formula>H21&lt;0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F29:F32">
    <cfRule type="expression" dxfId="555" priority="5">
      <formula>F29&gt;0</formula>
    </cfRule>
    <cfRule type="expression" dxfId="554" priority="6">
      <formula>F29&lt;0</formula>
    </cfRule>
  </conditionalFormatting>
  <conditionalFormatting sqref="H29:H32">
    <cfRule type="expression" dxfId="553" priority="3">
      <formula>H29&gt;0</formula>
    </cfRule>
    <cfRule type="expression" dxfId="552" priority="4">
      <formula>H29&lt;0</formula>
    </cfRule>
  </conditionalFormatting>
  <conditionalFormatting sqref="M37">
    <cfRule type="expression" dxfId="551" priority="1">
      <formula>M37&gt;0</formula>
    </cfRule>
    <cfRule type="expression" dxfId="55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243.36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243.36</v>
      </c>
      <c r="R4" s="498">
        <v>8.0000000000000002E-3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553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267.69600000000003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265.26240000000001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262.82880000000006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260.39520000000005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257.96160000000003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255.52800000000002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253.09440000000004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250.66080000000002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248.22720000000001</v>
      </c>
      <c r="R48" s="82"/>
      <c r="T48" s="86" t="s">
        <v>104</v>
      </c>
      <c r="U48" s="129" t="s">
        <v>689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245.79360000000003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243.36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240.9264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238.49280000000002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236.0592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233.62559999999999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231.19200000000001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228.75839999999999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226.32480000000001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223.89120000000003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221.45760000000001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219.02400000000003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9" priority="19">
      <formula>F25&gt;0</formula>
    </cfRule>
    <cfRule type="expression" dxfId="5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7" priority="11">
      <formula>F28&gt;0</formula>
    </cfRule>
    <cfRule type="expression" dxfId="546" priority="12">
      <formula>F28&lt;0</formula>
    </cfRule>
  </conditionalFormatting>
  <conditionalFormatting sqref="F28:F35">
    <cfRule type="expression" dxfId="545" priority="13">
      <formula>F28&gt;0</formula>
    </cfRule>
    <cfRule type="expression" dxfId="544" priority="14">
      <formula>F28&lt;0</formula>
    </cfRule>
  </conditionalFormatting>
  <conditionalFormatting sqref="H25:H35">
    <cfRule type="expression" dxfId="543" priority="9">
      <formula>H25&gt;0</formula>
    </cfRule>
    <cfRule type="expression" dxfId="542" priority="10">
      <formula>H25&lt;0</formula>
    </cfRule>
  </conditionalFormatting>
  <conditionalFormatting sqref="F21:F24">
    <cfRule type="expression" dxfId="541" priority="7">
      <formula>F21&gt;0</formula>
    </cfRule>
    <cfRule type="expression" dxfId="540" priority="8">
      <formula>F21&lt;0</formula>
    </cfRule>
  </conditionalFormatting>
  <conditionalFormatting sqref="H21:H24">
    <cfRule type="expression" dxfId="539" priority="5">
      <formula>H21&gt;0</formula>
    </cfRule>
    <cfRule type="expression" dxfId="538" priority="6">
      <formula>H21&lt;0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107.68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107.68</v>
      </c>
      <c r="R4" s="498">
        <v>1.17E-2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118.44800000000002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117.37120000000002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116.29440000000001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115.21760000000002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114.14080000000001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113.06400000000001</v>
      </c>
      <c r="R42" s="82"/>
      <c r="T42" s="86" t="s">
        <v>99</v>
      </c>
      <c r="U42" s="129" t="s">
        <v>690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111.98720000000002</v>
      </c>
      <c r="R43" s="82"/>
      <c r="T43" s="86" t="s">
        <v>100</v>
      </c>
      <c r="U43" s="129" t="s">
        <v>691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110.91040000000001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109.8336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108.75680000000001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107.68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106.6032</v>
      </c>
      <c r="R48" s="82"/>
      <c r="T48" s="86" t="s">
        <v>104</v>
      </c>
      <c r="U48" s="129" t="s">
        <v>692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105.52640000000001</v>
      </c>
      <c r="R49" s="82"/>
      <c r="T49" s="86" t="s">
        <v>105</v>
      </c>
      <c r="U49" s="129" t="s">
        <v>693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104.4496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103.3728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102.29600000000001</v>
      </c>
      <c r="R52" s="82"/>
      <c r="T52" s="86" t="s">
        <v>107</v>
      </c>
      <c r="U52" s="129" t="s">
        <v>694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101.2192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100.14240000000001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99.065600000000018</v>
      </c>
      <c r="R55" s="82"/>
      <c r="T55" s="86" t="s">
        <v>108</v>
      </c>
      <c r="U55" s="129" t="s">
        <v>582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97.988800000000012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96.912000000000006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F40:F45">
    <cfRule type="expression" dxfId="531" priority="31">
      <formula>F40&gt;0</formula>
    </cfRule>
    <cfRule type="expression" dxfId="530" priority="32">
      <formula>F40&lt;0</formula>
    </cfRule>
  </conditionalFormatting>
  <conditionalFormatting sqref="H40:H45">
    <cfRule type="expression" dxfId="529" priority="27">
      <formula>H40&gt;0</formula>
    </cfRule>
    <cfRule type="expression" dxfId="528" priority="28">
      <formula>H40&lt;0</formula>
    </cfRule>
  </conditionalFormatting>
  <conditionalFormatting sqref="F23:F39">
    <cfRule type="expression" dxfId="527" priority="13">
      <formula>F23&gt;0</formula>
    </cfRule>
    <cfRule type="expression" dxfId="526" priority="14">
      <formula>F23&lt;0</formula>
    </cfRule>
  </conditionalFormatting>
  <conditionalFormatting sqref="H23:H39">
    <cfRule type="expression" dxfId="525" priority="11">
      <formula>H23&gt;0</formula>
    </cfRule>
    <cfRule type="expression" dxfId="524" priority="12">
      <formula>H23&lt;0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10">
    <cfRule type="expression" dxfId="519" priority="1">
      <formula>Q10&gt;0</formula>
    </cfRule>
    <cfRule type="expression" dxfId="5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78.58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78.58</v>
      </c>
      <c r="R4" s="498">
        <v>1.49E-2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86.438000000000002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85.652200000000008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84.866399999999999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84.080600000000004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83.294800000000009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82.509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81.723200000000006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80.937399999999997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80.151600000000002</v>
      </c>
      <c r="Q51" s="2"/>
      <c r="T51" s="107" t="s">
        <v>104</v>
      </c>
      <c r="U51" s="105" t="s">
        <v>695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79.365799999999993</v>
      </c>
      <c r="Q52" s="2"/>
      <c r="T52" s="107" t="s">
        <v>105</v>
      </c>
      <c r="U52" s="105" t="s">
        <v>696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78.58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77.794200000000004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77.008399999999995</v>
      </c>
      <c r="T55" s="107" t="s">
        <v>107</v>
      </c>
      <c r="U55" s="105" t="s">
        <v>697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76.2226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75.436799999999991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74.650999999999996</v>
      </c>
      <c r="T58" s="107" t="s">
        <v>108</v>
      </c>
      <c r="U58" s="105" t="s">
        <v>564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73.865199999999987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73.079400000000007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72.293599999999998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71.507800000000003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70.721999999999994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7" priority="39">
      <formula>Q12&gt;0</formula>
    </cfRule>
    <cfRule type="expression" dxfId="5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5" priority="33">
      <formula>F25&gt;0</formula>
    </cfRule>
    <cfRule type="expression" dxfId="514" priority="34">
      <formula>F25&lt;0</formula>
    </cfRule>
  </conditionalFormatting>
  <conditionalFormatting sqref="F30">
    <cfRule type="expression" dxfId="513" priority="31">
      <formula>F30&gt;0</formula>
    </cfRule>
    <cfRule type="expression" dxfId="512" priority="32">
      <formula>F30&lt;0</formula>
    </cfRule>
  </conditionalFormatting>
  <conditionalFormatting sqref="F31">
    <cfRule type="expression" dxfId="511" priority="29">
      <formula>F31&gt;0</formula>
    </cfRule>
    <cfRule type="expression" dxfId="510" priority="30">
      <formula>F31&lt;0</formula>
    </cfRule>
  </conditionalFormatting>
  <conditionalFormatting sqref="F32:F34">
    <cfRule type="expression" dxfId="509" priority="27">
      <formula>F32&gt;0</formula>
    </cfRule>
    <cfRule type="expression" dxfId="508" priority="28">
      <formula>F32&lt;0</formula>
    </cfRule>
  </conditionalFormatting>
  <conditionalFormatting sqref="H25:H29">
    <cfRule type="expression" dxfId="507" priority="25">
      <formula>H25&gt;0</formula>
    </cfRule>
    <cfRule type="expression" dxfId="506" priority="26">
      <formula>H25&lt;0</formula>
    </cfRule>
  </conditionalFormatting>
  <conditionalFormatting sqref="H30">
    <cfRule type="expression" dxfId="505" priority="23">
      <formula>H30&gt;0</formula>
    </cfRule>
    <cfRule type="expression" dxfId="504" priority="24">
      <formula>H30&lt;0</formula>
    </cfRule>
  </conditionalFormatting>
  <conditionalFormatting sqref="H31">
    <cfRule type="expression" dxfId="503" priority="21">
      <formula>H31&gt;0</formula>
    </cfRule>
    <cfRule type="expression" dxfId="502" priority="22">
      <formula>H31&lt;0</formula>
    </cfRule>
  </conditionalFormatting>
  <conditionalFormatting sqref="H32:H34">
    <cfRule type="expression" dxfId="501" priority="19">
      <formula>H32&gt;0</formula>
    </cfRule>
    <cfRule type="expression" dxfId="500" priority="20">
      <formula>H32&lt;0</formula>
    </cfRule>
  </conditionalFormatting>
  <conditionalFormatting sqref="F35">
    <cfRule type="expression" dxfId="499" priority="17">
      <formula>F35&gt;0</formula>
    </cfRule>
    <cfRule type="expression" dxfId="498" priority="18">
      <formula>F35&lt;0</formula>
    </cfRule>
  </conditionalFormatting>
  <conditionalFormatting sqref="H35">
    <cfRule type="expression" dxfId="497" priority="15">
      <formula>H35&gt;0</formula>
    </cfRule>
    <cfRule type="expression" dxfId="496" priority="16">
      <formula>H35&lt;0</formula>
    </cfRule>
  </conditionalFormatting>
  <conditionalFormatting sqref="F36">
    <cfRule type="expression" dxfId="495" priority="13">
      <formula>F36&gt;0</formula>
    </cfRule>
    <cfRule type="expression" dxfId="494" priority="14">
      <formula>F36&lt;0</formula>
    </cfRule>
  </conditionalFormatting>
  <conditionalFormatting sqref="H36">
    <cfRule type="expression" dxfId="493" priority="11">
      <formula>H36&gt;0</formula>
    </cfRule>
    <cfRule type="expression" dxfId="492" priority="12">
      <formula>H36&lt;0</formula>
    </cfRule>
  </conditionalFormatting>
  <conditionalFormatting sqref="H23:H24">
    <cfRule type="expression" dxfId="491" priority="5">
      <formula>H23&gt;0</formula>
    </cfRule>
    <cfRule type="expression" dxfId="490" priority="6">
      <formula>H23&lt;0</formula>
    </cfRule>
  </conditionalFormatting>
  <conditionalFormatting sqref="F23:F24">
    <cfRule type="expression" dxfId="489" priority="7">
      <formula>F23&gt;0</formula>
    </cfRule>
    <cfRule type="expression" dxfId="488" priority="8">
      <formula>F23&lt;0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 t="s">
        <v>539</v>
      </c>
      <c r="M2" s="3"/>
      <c r="O2" s="11" t="s">
        <v>57</v>
      </c>
      <c r="Q2">
        <f>C18-H18</f>
        <v>200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54.097999999999999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52.08</v>
      </c>
      <c r="R4" s="498">
        <v>1.84E-2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97">
        <v>42886</v>
      </c>
      <c r="C5" s="4">
        <v>80</v>
      </c>
      <c r="D5" s="3">
        <v>50.88</v>
      </c>
      <c r="E5" s="3">
        <v>0</v>
      </c>
      <c r="F5" s="3">
        <f>C5*D5+E5</f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10416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10819.6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801.28000000000065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-403.60000000000036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-3.7302672926910453E-2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200</v>
      </c>
      <c r="D18" s="18"/>
      <c r="E18" s="18"/>
      <c r="F18" s="18">
        <f>SUM(F2:F17)</f>
        <v>10819.6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753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77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78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77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78">
        <f t="shared" ref="H35:H36" si="10">(E35-D35)/D35</f>
        <v>2.5058936523181738E-2</v>
      </c>
      <c r="I35" s="613"/>
      <c r="J35" s="613">
        <v>1239</v>
      </c>
      <c r="K35" s="613">
        <f t="shared" ref="K35:K40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0" si="15">C38*(E38-D38)</f>
        <v>-249.99600000000015</v>
      </c>
      <c r="G38" s="40">
        <f t="shared" ref="G38:G40" si="16">D38*C38</f>
        <v>6749.1959999999999</v>
      </c>
      <c r="H38" s="229">
        <f t="shared" ref="H38:H40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697" t="s">
        <v>78</v>
      </c>
      <c r="Q39" s="697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5"/>
        <v>-591.59999999999968</v>
      </c>
      <c r="G40" s="40">
        <f t="shared" si="16"/>
        <v>10819.6</v>
      </c>
      <c r="H40" s="229">
        <f t="shared" si="17"/>
        <v>-5.4678546341824071E-2</v>
      </c>
      <c r="I40" s="40"/>
      <c r="J40" s="40">
        <v>613.28</v>
      </c>
      <c r="K40" s="40">
        <f t="shared" si="11"/>
        <v>51.031599999999997</v>
      </c>
      <c r="O40" s="2"/>
      <c r="P40" s="82">
        <v>1.1000000000000001</v>
      </c>
      <c r="Q40" s="82">
        <f>P40*$Q$4</f>
        <v>57.288000000000004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56.767200000000003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56.246400000000001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55.7256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55.204799999999999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54.683999999999997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54.163200000000003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53.642400000000002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53.121600000000001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52.6008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52.08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51.559199999999997</v>
      </c>
      <c r="R51" s="82"/>
      <c r="T51" s="86" t="s">
        <v>104</v>
      </c>
      <c r="U51" s="87" t="s">
        <v>698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51.038399999999996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50.517599999999995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49.996799999999993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49.475999999999999</v>
      </c>
      <c r="R55" s="82"/>
      <c r="T55" s="86" t="s">
        <v>107</v>
      </c>
      <c r="U55" s="87" t="s">
        <v>699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48.955199999999998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48.434400000000004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47.913600000000002</v>
      </c>
      <c r="R58" s="82"/>
      <c r="T58" s="86" t="s">
        <v>108</v>
      </c>
      <c r="U58" s="87" t="s">
        <v>598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47.392800000000001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46.872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3" priority="79">
      <formula>F61&gt;0</formula>
    </cfRule>
    <cfRule type="expression" dxfId="48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1" priority="71">
      <formula>F64&gt;0</formula>
    </cfRule>
    <cfRule type="expression" dxfId="480" priority="72">
      <formula>F64&lt;0</formula>
    </cfRule>
  </conditionalFormatting>
  <conditionalFormatting sqref="F64:F92 F99:F101 F108:F119">
    <cfRule type="expression" dxfId="479" priority="73">
      <formula>F64&gt;0</formula>
    </cfRule>
    <cfRule type="expression" dxfId="478" priority="74">
      <formula>F64&lt;0</formula>
    </cfRule>
  </conditionalFormatting>
  <conditionalFormatting sqref="H61:H92 H99:H101 H108:H119">
    <cfRule type="expression" dxfId="477" priority="69">
      <formula>H61&gt;0</formula>
    </cfRule>
    <cfRule type="expression" dxfId="476" priority="70">
      <formula>H61&lt;0</formula>
    </cfRule>
  </conditionalFormatting>
  <conditionalFormatting sqref="F57:F60">
    <cfRule type="expression" dxfId="475" priority="55">
      <formula>F57&gt;0</formula>
    </cfRule>
    <cfRule type="expression" dxfId="474" priority="56">
      <formula>F57&lt;0</formula>
    </cfRule>
  </conditionalFormatting>
  <conditionalFormatting sqref="H57:H60">
    <cfRule type="expression" dxfId="473" priority="53">
      <formula>H57&gt;0</formula>
    </cfRule>
    <cfRule type="expression" dxfId="472" priority="54">
      <formula>H57&lt;0</formula>
    </cfRule>
  </conditionalFormatting>
  <conditionalFormatting sqref="Q8">
    <cfRule type="expression" dxfId="471" priority="49">
      <formula>Q8&gt;0</formula>
    </cfRule>
    <cfRule type="expression" dxfId="470" priority="50">
      <formula>Q8&lt;0</formula>
    </cfRule>
  </conditionalFormatting>
  <conditionalFormatting sqref="Q7">
    <cfRule type="expression" dxfId="469" priority="51">
      <formula>Q7&gt;0</formula>
    </cfRule>
    <cfRule type="expression" dxfId="468" priority="52">
      <formula>Q7&lt;0</formula>
    </cfRule>
  </conditionalFormatting>
  <conditionalFormatting sqref="F93:F98">
    <cfRule type="expression" dxfId="467" priority="45">
      <formula>F93&gt;0</formula>
    </cfRule>
    <cfRule type="expression" dxfId="466" priority="46">
      <formula>F93&lt;0</formula>
    </cfRule>
  </conditionalFormatting>
  <conditionalFormatting sqref="F93:F98">
    <cfRule type="expression" dxfId="465" priority="47">
      <formula>F93&gt;0</formula>
    </cfRule>
    <cfRule type="expression" dxfId="464" priority="48">
      <formula>F93&lt;0</formula>
    </cfRule>
  </conditionalFormatting>
  <conditionalFormatting sqref="H93:H98">
    <cfRule type="expression" dxfId="463" priority="43">
      <formula>H93&gt;0</formula>
    </cfRule>
    <cfRule type="expression" dxfId="462" priority="44">
      <formula>H93&lt;0</formula>
    </cfRule>
  </conditionalFormatting>
  <conditionalFormatting sqref="M122">
    <cfRule type="expression" dxfId="461" priority="39">
      <formula>M122&gt;0</formula>
    </cfRule>
    <cfRule type="expression" dxfId="460" priority="40">
      <formula>M122&lt;0</formula>
    </cfRule>
  </conditionalFormatting>
  <conditionalFormatting sqref="M122">
    <cfRule type="expression" dxfId="459" priority="41">
      <formula>M122&gt;0</formula>
    </cfRule>
    <cfRule type="expression" dxfId="458" priority="42">
      <formula>M122&lt;0</formula>
    </cfRule>
  </conditionalFormatting>
  <conditionalFormatting sqref="F103:F107">
    <cfRule type="expression" dxfId="457" priority="37">
      <formula>F103&gt;0</formula>
    </cfRule>
    <cfRule type="expression" dxfId="456" priority="38">
      <formula>F103&lt;0</formula>
    </cfRule>
  </conditionalFormatting>
  <conditionalFormatting sqref="H103:H107">
    <cfRule type="expression" dxfId="455" priority="35">
      <formula>H103&gt;0</formula>
    </cfRule>
    <cfRule type="expression" dxfId="454" priority="36">
      <formula>H103&lt;0</formula>
    </cfRule>
  </conditionalFormatting>
  <conditionalFormatting sqref="F24:F51">
    <cfRule type="expression" dxfId="453" priority="27">
      <formula>F24&gt;0</formula>
    </cfRule>
    <cfRule type="expression" dxfId="452" priority="28">
      <formula>F24&lt;0</formula>
    </cfRule>
  </conditionalFormatting>
  <conditionalFormatting sqref="F24:F51">
    <cfRule type="expression" dxfId="451" priority="29">
      <formula>F24&gt;0</formula>
    </cfRule>
    <cfRule type="expression" dxfId="450" priority="30">
      <formula>F24&lt;0</formula>
    </cfRule>
  </conditionalFormatting>
  <conditionalFormatting sqref="H24:H51">
    <cfRule type="expression" dxfId="449" priority="25">
      <formula>H24&gt;0</formula>
    </cfRule>
    <cfRule type="expression" dxfId="448" priority="26">
      <formula>H24&lt;0</formula>
    </cfRule>
  </conditionalFormatting>
  <conditionalFormatting sqref="J34">
    <cfRule type="expression" dxfId="447" priority="23">
      <formula>J34&gt;0</formula>
    </cfRule>
    <cfRule type="expression" dxfId="446" priority="24">
      <formula>J34&lt;0</formula>
    </cfRule>
  </conditionalFormatting>
  <conditionalFormatting sqref="J35">
    <cfRule type="expression" dxfId="445" priority="21">
      <formula>J35&gt;0</formula>
    </cfRule>
    <cfRule type="expression" dxfId="444" priority="22">
      <formula>J35&lt;0</formula>
    </cfRule>
  </conditionalFormatting>
  <conditionalFormatting sqref="J36:J47">
    <cfRule type="expression" dxfId="443" priority="19">
      <formula>J36&gt;0</formula>
    </cfRule>
    <cfRule type="expression" dxfId="442" priority="20">
      <formula>J36&lt;0</formula>
    </cfRule>
  </conditionalFormatting>
  <conditionalFormatting sqref="K34">
    <cfRule type="expression" dxfId="441" priority="5">
      <formula>K34&gt;0</formula>
    </cfRule>
    <cfRule type="expression" dxfId="440" priority="6">
      <formula>K34&lt;0</formula>
    </cfRule>
  </conditionalFormatting>
  <conditionalFormatting sqref="K35">
    <cfRule type="expression" dxfId="439" priority="3">
      <formula>K35&gt;0</formula>
    </cfRule>
    <cfRule type="expression" dxfId="438" priority="4">
      <formula>K35&lt;0</formula>
    </cfRule>
  </conditionalFormatting>
  <conditionalFormatting sqref="K36:K47">
    <cfRule type="expression" dxfId="437" priority="1">
      <formula>K36&gt;0</formula>
    </cfRule>
    <cfRule type="expression" dxfId="43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32.94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32.94</v>
      </c>
      <c r="R4" s="498">
        <v>0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36.234000000000002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35.904600000000002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35.575200000000002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35.245800000000003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34.916399999999996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34.586999999999996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34.257599999999996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33.928199999999997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33.598799999999997</v>
      </c>
      <c r="R48" s="82"/>
      <c r="T48" s="86" t="s">
        <v>104</v>
      </c>
      <c r="U48" s="87" t="s">
        <v>700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33.269399999999997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32.94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32.610599999999998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32.281199999999998</v>
      </c>
      <c r="R52" s="82"/>
      <c r="T52" s="86" t="s">
        <v>107</v>
      </c>
      <c r="U52" s="87" t="s">
        <v>701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31.951799999999999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31.622399999999995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31.292999999999996</v>
      </c>
      <c r="R55" s="82"/>
      <c r="T55" s="86" t="s">
        <v>108</v>
      </c>
      <c r="U55" s="87" t="s">
        <v>554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30.963599999999996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30.6342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30.3048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29.9754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29.645999999999997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5" priority="66">
      <formula>F22&gt;0</formula>
    </cfRule>
    <cfRule type="expression" dxfId="4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3" priority="53">
      <formula>F41&gt;0</formula>
    </cfRule>
    <cfRule type="expression" dxfId="432" priority="54">
      <formula>F41&lt;0</formula>
    </cfRule>
  </conditionalFormatting>
  <conditionalFormatting sqref="F41">
    <cfRule type="expression" dxfId="431" priority="57">
      <formula>F41&gt;0</formula>
    </cfRule>
    <cfRule type="expression" dxfId="430" priority="58">
      <formula>F41&lt;0</formula>
    </cfRule>
  </conditionalFormatting>
  <conditionalFormatting sqref="H41">
    <cfRule type="expression" dxfId="429" priority="35">
      <formula>H41&gt;0</formula>
    </cfRule>
    <cfRule type="expression" dxfId="428" priority="36">
      <formula>H41&lt;0</formula>
    </cfRule>
  </conditionalFormatting>
  <conditionalFormatting sqref="F89:F95">
    <cfRule type="expression" dxfId="427" priority="29">
      <formula>F89&gt;0</formula>
    </cfRule>
    <cfRule type="expression" dxfId="426" priority="30">
      <formula>F89&lt;0</formula>
    </cfRule>
  </conditionalFormatting>
  <conditionalFormatting sqref="F96:F110">
    <cfRule type="expression" dxfId="425" priority="25">
      <formula>F96&gt;0</formula>
    </cfRule>
    <cfRule type="expression" dxfId="424" priority="26">
      <formula>F96&lt;0</formula>
    </cfRule>
  </conditionalFormatting>
  <conditionalFormatting sqref="F96:F110">
    <cfRule type="expression" dxfId="423" priority="27">
      <formula>F96&gt;0</formula>
    </cfRule>
    <cfRule type="expression" dxfId="422" priority="28">
      <formula>F96&lt;0</formula>
    </cfRule>
  </conditionalFormatting>
  <conditionalFormatting sqref="H89:H100">
    <cfRule type="expression" dxfId="421" priority="23">
      <formula>H89&gt;0</formula>
    </cfRule>
    <cfRule type="expression" dxfId="420" priority="24">
      <formula>H89&lt;0</formula>
    </cfRule>
  </conditionalFormatting>
  <conditionalFormatting sqref="H101">
    <cfRule type="expression" dxfId="419" priority="21">
      <formula>H101&gt;0</formula>
    </cfRule>
    <cfRule type="expression" dxfId="418" priority="22">
      <formula>H101&lt;0</formula>
    </cfRule>
  </conditionalFormatting>
  <conditionalFormatting sqref="F111:F116">
    <cfRule type="expression" dxfId="417" priority="19">
      <formula>F111&gt;0</formula>
    </cfRule>
    <cfRule type="expression" dxfId="416" priority="20">
      <formula>F111&lt;0</formula>
    </cfRule>
  </conditionalFormatting>
  <conditionalFormatting sqref="H103:H116">
    <cfRule type="expression" dxfId="415" priority="17">
      <formula>H103&gt;0</formula>
    </cfRule>
    <cfRule type="expression" dxfId="414" priority="18">
      <formula>H103&lt;0</formula>
    </cfRule>
  </conditionalFormatting>
  <conditionalFormatting sqref="H102">
    <cfRule type="expression" dxfId="413" priority="15">
      <formula>H102&gt;0</formula>
    </cfRule>
    <cfRule type="expression" dxfId="412" priority="16">
      <formula>H102&lt;0</formula>
    </cfRule>
  </conditionalFormatting>
  <conditionalFormatting sqref="M42">
    <cfRule type="expression" dxfId="411" priority="13">
      <formula>M42&gt;0</formula>
    </cfRule>
    <cfRule type="expression" dxfId="410" priority="14">
      <formula>M42&lt;0</formula>
    </cfRule>
  </conditionalFormatting>
  <conditionalFormatting sqref="Q7">
    <cfRule type="expression" dxfId="409" priority="9">
      <formula>Q7&gt;0</formula>
    </cfRule>
    <cfRule type="expression" dxfId="408" priority="10">
      <formula>Q7&lt;0</formula>
    </cfRule>
  </conditionalFormatting>
  <conditionalFormatting sqref="Q8">
    <cfRule type="expression" dxfId="407" priority="7">
      <formula>Q8&gt;0</formula>
    </cfRule>
    <cfRule type="expression" dxfId="406" priority="8">
      <formula>Q8&lt;0</formula>
    </cfRule>
  </conditionalFormatting>
  <conditionalFormatting sqref="F117:F130 H117:H130">
    <cfRule type="expression" dxfId="405" priority="1">
      <formula>F117&gt;0</formula>
    </cfRule>
    <cfRule type="expression" dxfId="4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17" activePane="bottomLeft" state="frozen"/>
      <selection activeCell="A2" sqref="A2"/>
      <selection pane="bottomLeft" activeCell="J44" sqref="J44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9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31.370120000000004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27.03</v>
      </c>
      <c r="R4" s="519">
        <v>4.7999999999999996E-3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6757.5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7842.5300000000007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2225.4399999999932</v>
      </c>
      <c r="R7">
        <v>250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0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-1085.0300000000007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0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-0.13835203690645756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650</v>
      </c>
      <c r="D18" s="18"/>
      <c r="E18" s="18"/>
      <c r="F18" s="18">
        <f>SUM(F2:F14)</f>
        <v>19285.29</v>
      </c>
      <c r="G18" s="14"/>
      <c r="H18" s="14">
        <f>SUM(H2:H13)</f>
        <v>400</v>
      </c>
      <c r="I18" s="18"/>
      <c r="J18" s="18"/>
      <c r="K18" s="18">
        <f>SUM(K2:K13)</f>
        <v>11337.76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547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758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:F42" si="34">C41*(E41-D41)</f>
        <v>-812.5</v>
      </c>
      <c r="G41" s="40">
        <f t="shared" ref="G41" si="35">D41*C41</f>
        <v>7917.5</v>
      </c>
      <c r="H41" s="229">
        <f t="shared" ref="H41:H42" si="36">(E41-D41)/D41</f>
        <v>-0.10262077676034101</v>
      </c>
      <c r="I41" s="40" t="s">
        <v>759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7">C42*(E42-D42)</f>
        <v>-1085</v>
      </c>
      <c r="G42" s="40">
        <f t="shared" ref="G42" si="38">D42*C42</f>
        <v>7842.5</v>
      </c>
      <c r="H42" s="229">
        <f t="shared" ref="H42" si="39">(E42-D42)/D42</f>
        <v>-0.13834874083519286</v>
      </c>
      <c r="I42" s="40" t="s">
        <v>763</v>
      </c>
      <c r="J42" s="40">
        <v>2225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697" t="s">
        <v>78</v>
      </c>
      <c r="P53" s="697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29.733000000000004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40">O55*$Q$4</f>
        <v>29.462700000000002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40"/>
        <v>29.192400000000003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40"/>
        <v>28.922100000000004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41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42">H58*I58-J58</f>
        <v>774.28</v>
      </c>
      <c r="L58" s="264">
        <v>42613</v>
      </c>
      <c r="M58" s="260">
        <v>90</v>
      </c>
      <c r="O58" s="82">
        <v>1.06</v>
      </c>
      <c r="P58" s="82">
        <f t="shared" si="40"/>
        <v>28.651800000000001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41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42"/>
        <v>1605.42</v>
      </c>
      <c r="L59" s="264">
        <v>42704</v>
      </c>
      <c r="M59" s="260">
        <v>102</v>
      </c>
      <c r="O59" s="82">
        <v>1.05</v>
      </c>
      <c r="P59" s="82">
        <f t="shared" si="40"/>
        <v>28.381500000000003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41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42"/>
        <v>704.38</v>
      </c>
      <c r="L60" s="259"/>
      <c r="M60" s="259"/>
      <c r="O60" s="82">
        <v>1.04</v>
      </c>
      <c r="P60" s="82">
        <f t="shared" si="40"/>
        <v>28.111200000000004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41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42"/>
        <v>1051.18</v>
      </c>
      <c r="L61" s="259"/>
      <c r="M61" s="259"/>
      <c r="O61" s="82">
        <v>1.03</v>
      </c>
      <c r="P61" s="82">
        <f t="shared" si="40"/>
        <v>27.840900000000001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41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42"/>
        <v>2281.9499999999998</v>
      </c>
      <c r="L62" s="259"/>
      <c r="M62" s="259"/>
      <c r="O62" s="82">
        <v>1.02</v>
      </c>
      <c r="P62" s="82">
        <f t="shared" si="40"/>
        <v>27.570600000000002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41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42"/>
        <v>1483.1699999999998</v>
      </c>
      <c r="L63" s="259"/>
      <c r="M63" s="259"/>
      <c r="O63" s="82">
        <v>1.01</v>
      </c>
      <c r="P63" s="82">
        <f t="shared" si="40"/>
        <v>27.3003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41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42"/>
        <v>991.18000000000006</v>
      </c>
      <c r="L64" s="259"/>
      <c r="M64" s="259"/>
      <c r="O64" s="82">
        <v>1</v>
      </c>
      <c r="P64" s="82">
        <f t="shared" si="40"/>
        <v>27.03</v>
      </c>
      <c r="Q64" s="2"/>
      <c r="T64" s="92" t="s">
        <v>104</v>
      </c>
      <c r="U64" s="129" t="s">
        <v>702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41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40"/>
        <v>26.759700000000002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41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40"/>
        <v>26.4894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41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40"/>
        <v>26.219100000000001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40"/>
        <v>25.948799999999999</v>
      </c>
      <c r="T68" s="92" t="s">
        <v>107</v>
      </c>
      <c r="U68" s="129" t="s">
        <v>703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41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40"/>
        <v>25.6785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40"/>
        <v>25.408200000000001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40"/>
        <v>25.137900000000002</v>
      </c>
      <c r="T71" s="92" t="s">
        <v>108</v>
      </c>
      <c r="U71" s="129" t="s">
        <v>599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40"/>
        <v>24.867600000000003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40"/>
        <v>24.597300000000001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40"/>
        <v>24.327000000000002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547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3">C93*(E93-D93)</f>
        <v>17.999999999999972</v>
      </c>
      <c r="G93" s="378">
        <f t="shared" ref="G93:G154" si="44">D93*C93</f>
        <v>2525</v>
      </c>
      <c r="H93" s="379">
        <f t="shared" ref="H93:H154" si="45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3"/>
        <v>-176.99999999999994</v>
      </c>
      <c r="G94" s="378">
        <f t="shared" si="44"/>
        <v>2525</v>
      </c>
      <c r="H94" s="379">
        <f t="shared" si="45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3"/>
        <v>-119.00000000000013</v>
      </c>
      <c r="G95" s="378">
        <f t="shared" si="44"/>
        <v>2525</v>
      </c>
      <c r="H95" s="379">
        <f t="shared" si="45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3"/>
        <v>-171.00000000000009</v>
      </c>
      <c r="G96" s="378">
        <f t="shared" si="44"/>
        <v>2525</v>
      </c>
      <c r="H96" s="379">
        <f t="shared" si="45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3"/>
        <v>-150</v>
      </c>
      <c r="G97" s="378">
        <f t="shared" si="44"/>
        <v>2525</v>
      </c>
      <c r="H97" s="379">
        <f t="shared" si="45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3"/>
        <v>-39.000000000000057</v>
      </c>
      <c r="G98" s="378">
        <f t="shared" si="44"/>
        <v>2525</v>
      </c>
      <c r="H98" s="379">
        <f t="shared" si="45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3"/>
        <v>-57.999999999999829</v>
      </c>
      <c r="G99" s="378">
        <f t="shared" si="44"/>
        <v>2525</v>
      </c>
      <c r="H99" s="379">
        <f t="shared" si="45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3"/>
        <v>78.000000000000114</v>
      </c>
      <c r="G100" s="378">
        <f t="shared" si="44"/>
        <v>2525</v>
      </c>
      <c r="H100" s="379">
        <f t="shared" si="45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3"/>
        <v>244.00000000000011</v>
      </c>
      <c r="G101" s="378">
        <f t="shared" si="44"/>
        <v>2525</v>
      </c>
      <c r="H101" s="379">
        <f t="shared" si="45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3"/>
        <v>130.00000000000006</v>
      </c>
      <c r="G102" s="378">
        <f t="shared" si="44"/>
        <v>2525</v>
      </c>
      <c r="H102" s="379">
        <f t="shared" si="45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3"/>
        <v>135.99999999999994</v>
      </c>
      <c r="G103" s="378">
        <f t="shared" si="44"/>
        <v>2525</v>
      </c>
      <c r="H103" s="379">
        <f t="shared" si="45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3"/>
        <v>103.99999999999991</v>
      </c>
      <c r="G104" s="378">
        <f t="shared" si="44"/>
        <v>2525</v>
      </c>
      <c r="H104" s="379">
        <f t="shared" si="45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3"/>
        <v>-7.0000000000000284</v>
      </c>
      <c r="G105" s="378">
        <f t="shared" si="44"/>
        <v>2525</v>
      </c>
      <c r="H105" s="379">
        <f t="shared" si="45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3"/>
        <v>7.9999999999998295</v>
      </c>
      <c r="G106" s="378">
        <f t="shared" si="44"/>
        <v>2525</v>
      </c>
      <c r="H106" s="379">
        <f t="shared" si="45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3"/>
        <v>55.278999999999989</v>
      </c>
      <c r="G107" s="378">
        <f t="shared" si="44"/>
        <v>1750.721</v>
      </c>
      <c r="H107" s="379">
        <f t="shared" si="45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3"/>
        <v>3.8799999999998391</v>
      </c>
      <c r="G108" s="378">
        <f t="shared" si="44"/>
        <v>2464.1200000000003</v>
      </c>
      <c r="H108" s="379">
        <f t="shared" si="45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3"/>
        <v>-15.120000000000289</v>
      </c>
      <c r="G109" s="378">
        <f t="shared" si="44"/>
        <v>2464.1200000000003</v>
      </c>
      <c r="H109" s="379">
        <f t="shared" si="45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3"/>
        <v>-442.62000000000012</v>
      </c>
      <c r="G110" s="378">
        <f t="shared" si="44"/>
        <v>4728.62</v>
      </c>
      <c r="H110" s="379">
        <f t="shared" si="45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3"/>
        <v>-391.61999999999966</v>
      </c>
      <c r="G111" s="378">
        <f t="shared" si="44"/>
        <v>6820.62</v>
      </c>
      <c r="H111" s="379">
        <f t="shared" si="45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3"/>
        <v>-184.61999999999927</v>
      </c>
      <c r="G112" s="378">
        <f t="shared" si="44"/>
        <v>6820.62</v>
      </c>
      <c r="H112" s="379">
        <f t="shared" si="45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3"/>
        <v>-349.61999999999944</v>
      </c>
      <c r="G113" s="378">
        <f t="shared" si="44"/>
        <v>6820.62</v>
      </c>
      <c r="H113" s="379">
        <f t="shared" si="45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3"/>
        <v>120.79599999999957</v>
      </c>
      <c r="G114" s="378">
        <f t="shared" si="44"/>
        <v>5215.2040000000006</v>
      </c>
      <c r="H114" s="379">
        <f t="shared" si="45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3"/>
        <v>151.18000000000009</v>
      </c>
      <c r="G115" s="378">
        <f t="shared" si="44"/>
        <v>4510.82</v>
      </c>
      <c r="H115" s="379">
        <f t="shared" si="45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3"/>
        <v>37.180000000000035</v>
      </c>
      <c r="G116" s="378">
        <f t="shared" si="44"/>
        <v>4510.82</v>
      </c>
      <c r="H116" s="379">
        <f t="shared" si="45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3"/>
        <v>93.180000000000263</v>
      </c>
      <c r="G117" s="378">
        <f t="shared" si="44"/>
        <v>4510.82</v>
      </c>
      <c r="H117" s="379">
        <f t="shared" si="45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3"/>
        <v>227.1800000000006</v>
      </c>
      <c r="G118" s="378">
        <f t="shared" si="44"/>
        <v>4510.82</v>
      </c>
      <c r="H118" s="379">
        <f t="shared" si="45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3"/>
        <v>455.18</v>
      </c>
      <c r="G119" s="378">
        <f t="shared" si="44"/>
        <v>4510.82</v>
      </c>
      <c r="H119" s="379">
        <f t="shared" si="45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3"/>
        <v>297.18000000000018</v>
      </c>
      <c r="G120" s="378">
        <f t="shared" si="44"/>
        <v>4510.82</v>
      </c>
      <c r="H120" s="379">
        <f t="shared" si="45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3"/>
        <v>335.1800000000004</v>
      </c>
      <c r="G121" s="378">
        <f t="shared" si="44"/>
        <v>4510.82</v>
      </c>
      <c r="H121" s="379">
        <f t="shared" si="45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3"/>
        <v>285.1800000000004</v>
      </c>
      <c r="G122" s="378">
        <f t="shared" si="44"/>
        <v>4510.82</v>
      </c>
      <c r="H122" s="379">
        <f t="shared" si="45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3"/>
        <v>485.1800000000004</v>
      </c>
      <c r="G123" s="378">
        <f t="shared" si="44"/>
        <v>4510.82</v>
      </c>
      <c r="H123" s="379">
        <f t="shared" si="45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3"/>
        <v>723.18000000000075</v>
      </c>
      <c r="G124" s="378">
        <f t="shared" si="44"/>
        <v>4510.82</v>
      </c>
      <c r="H124" s="379">
        <f t="shared" si="45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3"/>
        <v>699.18000000000052</v>
      </c>
      <c r="G125" s="378">
        <f t="shared" si="44"/>
        <v>4420.82</v>
      </c>
      <c r="H125" s="379">
        <f t="shared" si="45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3"/>
        <v>767.18000000000052</v>
      </c>
      <c r="G126" s="378">
        <f t="shared" si="44"/>
        <v>4420.82</v>
      </c>
      <c r="H126" s="379">
        <f t="shared" si="45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3"/>
        <v>709.18</v>
      </c>
      <c r="G127" s="378">
        <f t="shared" si="44"/>
        <v>4420.82</v>
      </c>
      <c r="H127" s="379">
        <f t="shared" si="45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3"/>
        <v>686</v>
      </c>
      <c r="G128" s="378">
        <f t="shared" si="44"/>
        <v>4420</v>
      </c>
      <c r="H128" s="379">
        <f t="shared" si="45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3"/>
        <v>783.95199999999988</v>
      </c>
      <c r="G129" s="378">
        <f t="shared" si="44"/>
        <v>3369.6480000000001</v>
      </c>
      <c r="H129" s="379">
        <f t="shared" si="45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3"/>
        <v>630.35199999999975</v>
      </c>
      <c r="G130" s="378">
        <f t="shared" si="44"/>
        <v>3369.6480000000001</v>
      </c>
      <c r="H130" s="379">
        <f t="shared" si="45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3"/>
        <v>711.952</v>
      </c>
      <c r="G131" s="378">
        <f t="shared" si="44"/>
        <v>3369.6480000000001</v>
      </c>
      <c r="H131" s="379">
        <f t="shared" si="45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3"/>
        <v>449.16000000000054</v>
      </c>
      <c r="G132" s="378">
        <f t="shared" si="44"/>
        <v>4352.84</v>
      </c>
      <c r="H132" s="379">
        <f t="shared" si="45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3"/>
        <v>383.1600000000002</v>
      </c>
      <c r="G133" s="378">
        <f t="shared" si="44"/>
        <v>4352.84</v>
      </c>
      <c r="H133" s="379">
        <f t="shared" si="45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3"/>
        <v>307.16000000000037</v>
      </c>
      <c r="G134" s="378">
        <f t="shared" si="44"/>
        <v>4352.84</v>
      </c>
      <c r="H134" s="379">
        <f t="shared" si="45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3"/>
        <v>253.16000000000045</v>
      </c>
      <c r="G135" s="378">
        <f t="shared" si="44"/>
        <v>4352.84</v>
      </c>
      <c r="H135" s="379">
        <f t="shared" si="45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3"/>
        <v>173.16000000000003</v>
      </c>
      <c r="G136" s="378">
        <f t="shared" si="44"/>
        <v>4352.84</v>
      </c>
      <c r="H136" s="379">
        <f t="shared" si="45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3"/>
        <v>211.11000000000041</v>
      </c>
      <c r="G137" s="378">
        <f t="shared" si="44"/>
        <v>6580.8899999999994</v>
      </c>
      <c r="H137" s="379">
        <f t="shared" si="45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3"/>
        <v>229.10000000000039</v>
      </c>
      <c r="G138" s="378">
        <f t="shared" si="44"/>
        <v>4298.8999999999996</v>
      </c>
      <c r="H138" s="379">
        <f t="shared" si="45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3"/>
        <v>491.10000000000014</v>
      </c>
      <c r="G139" s="378">
        <f t="shared" si="44"/>
        <v>4298.8999999999996</v>
      </c>
      <c r="H139" s="379">
        <f t="shared" si="45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3"/>
        <v>572.27799999999979</v>
      </c>
      <c r="G140" s="378">
        <f t="shared" si="44"/>
        <v>2815.7220000000002</v>
      </c>
      <c r="H140" s="379">
        <f t="shared" si="45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3"/>
        <v>566.27999999999975</v>
      </c>
      <c r="G141" s="378">
        <f t="shared" si="44"/>
        <v>4273.72</v>
      </c>
      <c r="H141" s="379">
        <f t="shared" si="45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3"/>
        <v>698.27999999999975</v>
      </c>
      <c r="G142" s="378">
        <f t="shared" si="44"/>
        <v>4273.72</v>
      </c>
      <c r="H142" s="379">
        <f t="shared" si="45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3"/>
        <v>658.27999999999986</v>
      </c>
      <c r="G143" s="378">
        <f t="shared" si="44"/>
        <v>4273.72</v>
      </c>
      <c r="H143" s="379">
        <f t="shared" si="45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3"/>
        <v>516.27999999999975</v>
      </c>
      <c r="G144" s="378">
        <f t="shared" si="44"/>
        <v>4273.72</v>
      </c>
      <c r="H144" s="379">
        <f t="shared" si="45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3"/>
        <v>508.29000000000059</v>
      </c>
      <c r="G145" s="378">
        <f t="shared" si="44"/>
        <v>6529.71</v>
      </c>
      <c r="H145" s="379">
        <f t="shared" si="45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3"/>
        <v>713.99999999999966</v>
      </c>
      <c r="G146" s="378">
        <f t="shared" si="44"/>
        <v>6531</v>
      </c>
      <c r="H146" s="379">
        <f t="shared" si="45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3"/>
        <v>956.25400000000025</v>
      </c>
      <c r="G147" s="378">
        <f t="shared" si="44"/>
        <v>5538.5460000000003</v>
      </c>
      <c r="H147" s="379">
        <f t="shared" si="45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3"/>
        <v>1200.6540000000007</v>
      </c>
      <c r="G148" s="378">
        <f t="shared" si="44"/>
        <v>5538.5460000000003</v>
      </c>
      <c r="H148" s="379">
        <f t="shared" si="45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3"/>
        <v>1052.4540000000006</v>
      </c>
      <c r="G149" s="378">
        <f t="shared" si="44"/>
        <v>5538.5460000000003</v>
      </c>
      <c r="H149" s="379">
        <f t="shared" si="45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3"/>
        <v>698.16000000000042</v>
      </c>
      <c r="G150" s="378">
        <f t="shared" si="44"/>
        <v>6504.84</v>
      </c>
      <c r="H150" s="379">
        <f t="shared" si="45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3"/>
        <v>984.12000000000012</v>
      </c>
      <c r="G151" s="378">
        <f t="shared" si="44"/>
        <v>6482.88</v>
      </c>
      <c r="H151" s="379">
        <f t="shared" si="45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3"/>
        <v>352.68200000000064</v>
      </c>
      <c r="G152" s="378">
        <f t="shared" si="44"/>
        <v>7331.3180000000002</v>
      </c>
      <c r="H152" s="379">
        <f t="shared" si="45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3"/>
        <v>2320.6080000000002</v>
      </c>
      <c r="G153" s="378">
        <f t="shared" si="44"/>
        <v>4531.3919999999998</v>
      </c>
      <c r="H153" s="379">
        <f t="shared" si="45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3"/>
        <v>2541.7799999999997</v>
      </c>
      <c r="G154" s="378">
        <f t="shared" si="44"/>
        <v>3246.2200000000003</v>
      </c>
      <c r="H154" s="379">
        <f t="shared" si="45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6">C157*(E157-D157)</f>
        <v>-57.000000000000028</v>
      </c>
      <c r="G157" s="378">
        <f t="shared" ref="G157:G164" si="47">D157*C157</f>
        <v>5857</v>
      </c>
      <c r="H157" s="379">
        <f t="shared" ref="H157:H164" si="48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6"/>
        <v>26.940000000000097</v>
      </c>
      <c r="G158" s="378">
        <f t="shared" si="47"/>
        <v>2921.06</v>
      </c>
      <c r="H158" s="379">
        <f t="shared" si="48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6"/>
        <v>-91.06000000000023</v>
      </c>
      <c r="G159" s="378">
        <f t="shared" si="47"/>
        <v>5749.06</v>
      </c>
      <c r="H159" s="379">
        <f t="shared" si="48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6"/>
        <v>24.88000000000028</v>
      </c>
      <c r="G160" s="378">
        <f t="shared" si="47"/>
        <v>2851.12</v>
      </c>
      <c r="H160" s="379">
        <f t="shared" si="48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6"/>
        <v>343.88000000000005</v>
      </c>
      <c r="G161" s="378">
        <f t="shared" si="47"/>
        <v>2851.12</v>
      </c>
      <c r="H161" s="379">
        <f t="shared" si="48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6"/>
        <v>452.88000000000005</v>
      </c>
      <c r="G162" s="378">
        <f t="shared" si="47"/>
        <v>2851.12</v>
      </c>
      <c r="H162" s="379">
        <f t="shared" si="48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6"/>
        <v>525.88000000000045</v>
      </c>
      <c r="G163" s="378">
        <f t="shared" si="47"/>
        <v>2851.12</v>
      </c>
      <c r="H163" s="379">
        <f t="shared" si="48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6"/>
        <v>421.87999999999982</v>
      </c>
      <c r="G164" s="378">
        <f t="shared" si="47"/>
        <v>2851.12</v>
      </c>
      <c r="H164" s="379">
        <f t="shared" si="48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3" priority="62">
      <formula>Q7&gt;0</formula>
    </cfRule>
    <cfRule type="expression" dxfId="402" priority="63">
      <formula>Q7&lt;0</formula>
    </cfRule>
  </conditionalFormatting>
  <conditionalFormatting sqref="Q8">
    <cfRule type="expression" dxfId="401" priority="60">
      <formula>Q8&gt;0</formula>
    </cfRule>
    <cfRule type="expression" dxfId="400" priority="61">
      <formula>Q8&lt;0</formula>
    </cfRule>
  </conditionalFormatting>
  <conditionalFormatting sqref="F24">
    <cfRule type="expression" dxfId="399" priority="42">
      <formula>F24&gt;0</formula>
    </cfRule>
    <cfRule type="expression" dxfId="398" priority="43">
      <formula>F24&lt;0</formula>
    </cfRule>
  </conditionalFormatting>
  <conditionalFormatting sqref="F25:F36">
    <cfRule type="expression" dxfId="397" priority="40">
      <formula>F25&gt;0</formula>
    </cfRule>
    <cfRule type="expression" dxfId="396" priority="41">
      <formula>F25&lt;0</formula>
    </cfRule>
  </conditionalFormatting>
  <conditionalFormatting sqref="H24:H36">
    <cfRule type="expression" dxfId="395" priority="38">
      <formula>H24&gt;0</formula>
    </cfRule>
    <cfRule type="expression" dxfId="394" priority="39">
      <formula>H24&lt;0</formula>
    </cfRule>
  </conditionalFormatting>
  <conditionalFormatting sqref="J32:J53">
    <cfRule type="expression" dxfId="393" priority="35">
      <formula>J32&gt;0</formula>
    </cfRule>
    <cfRule type="expression" dxfId="392" priority="36">
      <formula>J32&lt;0</formula>
    </cfRule>
  </conditionalFormatting>
  <conditionalFormatting sqref="M56">
    <cfRule type="expression" dxfId="391" priority="33">
      <formula>M56&gt;0</formula>
    </cfRule>
    <cfRule type="expression" dxfId="390" priority="34">
      <formula>M56&lt;0</formula>
    </cfRule>
  </conditionalFormatting>
  <conditionalFormatting sqref="F101:F137 H101:H137 H140:H145 F140:F145 F147:F156 H147:H156">
    <cfRule type="expression" dxfId="389" priority="31">
      <formula>F101&gt;0</formula>
    </cfRule>
    <cfRule type="expression" dxfId="388" priority="32">
      <formula>F101&lt;0</formula>
    </cfRule>
  </conditionalFormatting>
  <conditionalFormatting sqref="F93:F100">
    <cfRule type="expression" dxfId="387" priority="29">
      <formula>F93&gt;0</formula>
    </cfRule>
    <cfRule type="expression" dxfId="386" priority="30">
      <formula>F93&lt;0</formula>
    </cfRule>
  </conditionalFormatting>
  <conditionalFormatting sqref="H93:H100">
    <cfRule type="expression" dxfId="385" priority="27">
      <formula>H93&gt;0</formula>
    </cfRule>
    <cfRule type="expression" dxfId="384" priority="28">
      <formula>H93&lt;0</formula>
    </cfRule>
  </conditionalFormatting>
  <conditionalFormatting sqref="F138:F139 H138:H139">
    <cfRule type="expression" dxfId="383" priority="25">
      <formula>F138&gt;0</formula>
    </cfRule>
    <cfRule type="expression" dxfId="382" priority="26">
      <formula>F138&lt;0</formula>
    </cfRule>
  </conditionalFormatting>
  <conditionalFormatting sqref="H146 F146">
    <cfRule type="expression" dxfId="381" priority="23">
      <formula>F146&gt;0</formula>
    </cfRule>
    <cfRule type="expression" dxfId="380" priority="24">
      <formula>F146&lt;0</formula>
    </cfRule>
  </conditionalFormatting>
  <conditionalFormatting sqref="F157:F164">
    <cfRule type="expression" dxfId="379" priority="9">
      <formula>F157&gt;0</formula>
    </cfRule>
    <cfRule type="expression" dxfId="378" priority="10">
      <formula>F157&lt;0</formula>
    </cfRule>
  </conditionalFormatting>
  <conditionalFormatting sqref="H157:H164">
    <cfRule type="expression" dxfId="377" priority="7">
      <formula>H157&gt;0</formula>
    </cfRule>
    <cfRule type="expression" dxfId="376" priority="8">
      <formula>H157&lt;0</formula>
    </cfRule>
  </conditionalFormatting>
  <conditionalFormatting sqref="Q10">
    <cfRule type="expression" dxfId="375" priority="5">
      <formula>Q10&gt;0</formula>
    </cfRule>
    <cfRule type="expression" dxfId="374" priority="6">
      <formula>Q10&lt;0</formula>
    </cfRule>
  </conditionalFormatting>
  <conditionalFormatting sqref="F37:F42">
    <cfRule type="expression" dxfId="373" priority="3">
      <formula>F37&gt;0</formula>
    </cfRule>
    <cfRule type="expression" dxfId="372" priority="4">
      <formula>F37&lt;0</formula>
    </cfRule>
  </conditionalFormatting>
  <conditionalFormatting sqref="H37:H42">
    <cfRule type="expression" dxfId="371" priority="1">
      <formula>H37&gt;0</formula>
    </cfRule>
    <cfRule type="expression" dxfId="37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536</v>
      </c>
      <c r="M3" s="3"/>
      <c r="O3" s="11" t="s">
        <v>58</v>
      </c>
      <c r="Q3" s="228">
        <f>IF(Q2=0, Q4, (F18-K18-M18)/Q2)</f>
        <v>56.016153846153848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55.66</v>
      </c>
      <c r="R4" s="519">
        <v>9.1999999999999998E-3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1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7235.7999999999993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1">
        <v>42871</v>
      </c>
      <c r="C6" s="4">
        <v>50</v>
      </c>
      <c r="D6" s="3">
        <v>54.45</v>
      </c>
      <c r="E6" s="3">
        <v>0</v>
      </c>
      <c r="F6" s="3">
        <f>D6*C6+E6</f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7282.1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-46.300000000001091</v>
      </c>
      <c r="R7">
        <v>50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-46.300000000001091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-6.3580560552589345E-3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210</v>
      </c>
      <c r="D18" s="18"/>
      <c r="E18" s="18"/>
      <c r="F18" s="18">
        <f>SUM(F2:F14)</f>
        <v>11938.4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693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4">C36*(E36-D36)</f>
        <v>-74.799999999999613</v>
      </c>
      <c r="G36" s="10">
        <f t="shared" ref="G36" si="25">D36*C36</f>
        <v>4559.5999999999995</v>
      </c>
      <c r="H36" s="160">
        <f t="shared" ref="H36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7">C37*(E37-D37)</f>
        <v>-193.17999999999961</v>
      </c>
      <c r="G37" s="10">
        <f t="shared" ref="G37" si="28">D37*C37</f>
        <v>7282.08</v>
      </c>
      <c r="H37" s="160">
        <f t="shared" ref="H37" si="29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697" t="s">
        <v>78</v>
      </c>
      <c r="P40" s="697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61.225999999999999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0">O42*$Q$4</f>
        <v>60.669400000000003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0"/>
        <v>60.1128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0"/>
        <v>59.556199999999997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0"/>
        <v>58.999600000000001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0"/>
        <v>58.442999999999998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0"/>
        <v>57.886400000000002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30"/>
        <v>57.329799999999999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30"/>
        <v>56.773199999999996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30"/>
        <v>56.2166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30"/>
        <v>55.66</v>
      </c>
      <c r="Q51" s="2"/>
      <c r="T51" s="92" t="s">
        <v>104</v>
      </c>
      <c r="U51" s="129" t="s">
        <v>704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30"/>
        <v>55.103399999999993</v>
      </c>
      <c r="Q52" s="2"/>
      <c r="T52" s="92" t="s">
        <v>105</v>
      </c>
      <c r="U52" s="129" t="s">
        <v>705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30"/>
        <v>54.546799999999998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30"/>
        <v>53.990199999999994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30"/>
        <v>53.433599999999991</v>
      </c>
      <c r="T55" s="92" t="s">
        <v>107</v>
      </c>
      <c r="U55" s="129" t="s">
        <v>706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30"/>
        <v>52.876999999999995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30"/>
        <v>52.320399999999992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30"/>
        <v>51.763799999999996</v>
      </c>
      <c r="T58" s="92" t="s">
        <v>108</v>
      </c>
      <c r="U58" s="129" t="s">
        <v>600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30"/>
        <v>51.2072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30"/>
        <v>50.650599999999997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30"/>
        <v>50.094000000000001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9" priority="27">
      <formula>Q7&gt;0</formula>
    </cfRule>
    <cfRule type="expression" dxfId="368" priority="28">
      <formula>Q7&lt;0</formula>
    </cfRule>
  </conditionalFormatting>
  <conditionalFormatting sqref="Q8">
    <cfRule type="expression" dxfId="367" priority="25">
      <formula>Q8&gt;0</formula>
    </cfRule>
    <cfRule type="expression" dxfId="366" priority="26">
      <formula>Q8&lt;0</formula>
    </cfRule>
  </conditionalFormatting>
  <conditionalFormatting sqref="F24:F37">
    <cfRule type="expression" dxfId="365" priority="9">
      <formula>F24&gt;0</formula>
    </cfRule>
    <cfRule type="expression" dxfId="364" priority="10">
      <formula>F24&lt;0</formula>
    </cfRule>
  </conditionalFormatting>
  <conditionalFormatting sqref="H39 H41 H43 H45 H47 H24:H37">
    <cfRule type="expression" dxfId="363" priority="7">
      <formula>H24&gt;0</formula>
    </cfRule>
    <cfRule type="expression" dxfId="362" priority="8">
      <formula>H24&lt;0</formula>
    </cfRule>
  </conditionalFormatting>
  <conditionalFormatting sqref="J29">
    <cfRule type="expression" dxfId="361" priority="5">
      <formula>J29&gt;0</formula>
    </cfRule>
    <cfRule type="expression" dxfId="360" priority="6">
      <formula>J29&lt;0</formula>
    </cfRule>
  </conditionalFormatting>
  <conditionalFormatting sqref="J30:J35">
    <cfRule type="expression" dxfId="359" priority="3">
      <formula>J30&gt;0</formula>
    </cfRule>
    <cfRule type="expression" dxfId="358" priority="4">
      <formula>J30&lt;0</formula>
    </cfRule>
  </conditionalFormatting>
  <conditionalFormatting sqref="J36:J37">
    <cfRule type="expression" dxfId="357" priority="1">
      <formula>J36&gt;0</formula>
    </cfRule>
    <cfRule type="expression" dxfId="356" priority="2">
      <formula>J36&lt;0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53.01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53.01</v>
      </c>
      <c r="R4" s="498">
        <v>1.1000000000000001E-3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58.311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57.780900000000003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57.250799999999998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56.720700000000001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56.190600000000003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55.660499999999999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55.130400000000002</v>
      </c>
      <c r="Q49" s="82"/>
      <c r="R49" s="34"/>
      <c r="T49" s="92" t="s">
        <v>103</v>
      </c>
      <c r="U49" s="87" t="s">
        <v>601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54.600299999999997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54.0702</v>
      </c>
      <c r="Q51" s="82"/>
      <c r="R51" s="34"/>
      <c r="T51" s="92" t="s">
        <v>104</v>
      </c>
      <c r="U51" s="87" t="s">
        <v>707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53.540099999999995</v>
      </c>
      <c r="Q52" s="82"/>
      <c r="R52" s="34"/>
      <c r="T52" s="92" t="s">
        <v>105</v>
      </c>
      <c r="U52" s="87" t="s">
        <v>573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53.01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52.479900000000001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51.949799999999996</v>
      </c>
      <c r="Q55" s="82"/>
      <c r="T55" s="92" t="s">
        <v>107</v>
      </c>
      <c r="U55" s="87" t="s">
        <v>708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51.419699999999999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50.889599999999994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50.359499999999997</v>
      </c>
      <c r="Q58" s="82"/>
      <c r="T58" s="92" t="s">
        <v>108</v>
      </c>
      <c r="U58" s="87" t="s">
        <v>602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49.829399999999993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49.299300000000002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48.769199999999998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48.239100000000001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47.708999999999996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33.08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33.08</v>
      </c>
      <c r="R4" s="498">
        <v>-3.0000000000000001E-3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36.387999999999998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36.057200000000002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35.726399999999998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35.395600000000002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35.064799999999998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34.734000000000002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34.403199999999998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34.072400000000002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33.741599999999998</v>
      </c>
      <c r="Q51" s="82"/>
      <c r="R51" s="34"/>
      <c r="T51" s="92" t="s">
        <v>104</v>
      </c>
      <c r="U51" s="87" t="s">
        <v>709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33.410800000000002</v>
      </c>
      <c r="Q52" s="82"/>
      <c r="R52" s="34"/>
      <c r="T52" s="92" t="s">
        <v>105</v>
      </c>
      <c r="U52" s="87" t="s">
        <v>542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33.08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32.749199999999995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32.418399999999998</v>
      </c>
      <c r="Q55" s="82"/>
      <c r="R55" s="34"/>
      <c r="T55" s="92" t="s">
        <v>107</v>
      </c>
      <c r="U55" s="87" t="s">
        <v>710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32.087599999999995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31.756799999999998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31.425999999999998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31.095199999999998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30.764399999999998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30.433599999999998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30.102799999999998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29.771999999999998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86.94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86.94</v>
      </c>
      <c r="R4" s="498">
        <v>1.1299999999999999E-2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697" t="s">
        <v>78</v>
      </c>
      <c r="P35" s="697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95.634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94.764600000000002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93.895200000000003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93.025800000000004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92.156400000000005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91.287000000000006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90.417600000000007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89.548199999999994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88.678799999999995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87.809399999999997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86.94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86.070599999999999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85.2012</v>
      </c>
      <c r="Q48" s="2"/>
      <c r="T48" s="112" t="s">
        <v>104</v>
      </c>
      <c r="U48" s="105" t="s">
        <v>711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84.331800000000001</v>
      </c>
      <c r="T49" s="112" t="s">
        <v>105</v>
      </c>
      <c r="U49" s="105" t="s">
        <v>555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83.462399999999988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82.592999999999989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81.72359999999999</v>
      </c>
      <c r="T52" s="112" t="s">
        <v>107</v>
      </c>
      <c r="U52" s="105" t="s">
        <v>712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80.854200000000006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79.984800000000007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79.115399999999994</v>
      </c>
      <c r="T55" s="112" t="s">
        <v>108</v>
      </c>
      <c r="U55" s="105" t="s">
        <v>603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78.245999999999995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124.5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124.5</v>
      </c>
      <c r="R4" s="498">
        <v>3.8E-3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136.95000000000002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135.70500000000001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134.46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133.215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131.97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130.72499999999999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129.48000000000002</v>
      </c>
      <c r="Q49" s="2"/>
      <c r="R49" s="34"/>
      <c r="T49" s="10" t="s">
        <v>103</v>
      </c>
      <c r="U49" s="87" t="s">
        <v>682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128.23500000000001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126.99000000000001</v>
      </c>
      <c r="Q51" s="2"/>
      <c r="R51" s="34"/>
      <c r="T51" s="10" t="s">
        <v>104</v>
      </c>
      <c r="U51" s="87" t="s">
        <v>683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125.745</v>
      </c>
      <c r="Q52" s="2"/>
      <c r="R52" s="34"/>
      <c r="T52" s="10" t="s">
        <v>105</v>
      </c>
      <c r="U52" s="87" t="s">
        <v>544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124.5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123.255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122.00999999999999</v>
      </c>
      <c r="Q55" s="2"/>
      <c r="R55" s="34"/>
      <c r="T55" s="10" t="s">
        <v>107</v>
      </c>
      <c r="U55" s="87" t="s">
        <v>684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120.765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119.52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118.27499999999999</v>
      </c>
      <c r="T58" s="10" t="s">
        <v>108</v>
      </c>
      <c r="U58" s="87" t="s">
        <v>596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117.02999999999999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115.78500000000001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114.54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113.295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112.05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234.59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234.59</v>
      </c>
      <c r="R4" s="498">
        <v>-2.0400000000000001E-2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0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0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0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07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7" t="s">
        <v>78</v>
      </c>
      <c r="P41" s="697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258.04900000000004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255.70310000000003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253.35720000000003</v>
      </c>
      <c r="Q44" s="2"/>
      <c r="T44" s="134" t="s">
        <v>99</v>
      </c>
      <c r="U44" s="87" t="s">
        <v>713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251.01130000000001</v>
      </c>
      <c r="Q45" s="2"/>
      <c r="T45" s="134" t="s">
        <v>100</v>
      </c>
      <c r="U45" s="87" t="s">
        <v>714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248.66540000000001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246.31950000000001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243.9736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241.6277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239.2818</v>
      </c>
      <c r="Q50" s="2"/>
      <c r="T50" s="134" t="s">
        <v>104</v>
      </c>
      <c r="U50" s="87" t="s">
        <v>715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236.9359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234.59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232.2441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229.8982</v>
      </c>
      <c r="Q54" s="2"/>
      <c r="T54" s="134" t="s">
        <v>107</v>
      </c>
      <c r="U54" s="87" t="s">
        <v>716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227.5523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225.2064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222.8605</v>
      </c>
      <c r="T57" s="134" t="s">
        <v>108</v>
      </c>
      <c r="U57" s="87" t="s">
        <v>604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220.5146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218.1687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215.8228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213.4769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211.131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80.98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80.98</v>
      </c>
      <c r="R4" s="498">
        <v>1.6400000000000001E-2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697" t="s">
        <v>78</v>
      </c>
      <c r="P40" s="697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89.078000000000017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88.268200000000007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87.458400000000012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86.648600000000016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85.838800000000006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85.029000000000011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84.219200000000001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83.409400000000005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82.599600000000009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81.7898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80.98</v>
      </c>
      <c r="Q51" s="2"/>
      <c r="T51" s="92" t="s">
        <v>104</v>
      </c>
      <c r="U51" s="87" t="s">
        <v>751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80.170200000000008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79.360399999999998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78.550600000000003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77.740800000000007</v>
      </c>
      <c r="T55" s="92" t="s">
        <v>107</v>
      </c>
      <c r="U55" s="87" t="s">
        <v>752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76.930999999999997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76.121200000000002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75.311400000000006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74.50160000000001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73.691800000000001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72.882000000000005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75.05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75.05</v>
      </c>
      <c r="R4" s="518">
        <v>1.0200000000000001E-2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82.555000000000007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81.804500000000004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81.054000000000002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80.3035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79.552999999999997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78.802499999999995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78.052000000000007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77.301500000000004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76.551000000000002</v>
      </c>
      <c r="Q49" s="2"/>
      <c r="T49" s="92" t="s">
        <v>103</v>
      </c>
      <c r="U49" s="87" t="s">
        <v>717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75.8005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75.05</v>
      </c>
      <c r="Q51" s="2"/>
      <c r="T51" s="92" t="s">
        <v>104</v>
      </c>
      <c r="U51" s="87" t="s">
        <v>718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74.299499999999995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73.548999999999992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72.79849999999999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72.047999999999988</v>
      </c>
      <c r="T55" s="92" t="s">
        <v>107</v>
      </c>
      <c r="U55" s="87" t="s">
        <v>719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71.297499999999999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70.546999999999997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69.796499999999995</v>
      </c>
      <c r="T58" s="92" t="s">
        <v>108</v>
      </c>
      <c r="U58" s="87" t="s">
        <v>605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69.046000000000006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68.295500000000004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67.545000000000002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49.85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49.85</v>
      </c>
      <c r="R4" s="520">
        <v>1.47E-2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697" t="s">
        <v>78</v>
      </c>
      <c r="P42" s="697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54.835000000000008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54.336500000000008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53.838000000000008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53.339500000000008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52.841000000000001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52.342500000000001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51.844000000000001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51.345500000000001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50.847000000000001</v>
      </c>
      <c r="Q51" s="2"/>
      <c r="T51" s="92" t="s">
        <v>104</v>
      </c>
      <c r="U51" s="87" t="s">
        <v>720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50.348500000000001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49.85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49.351500000000001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48.853000000000002</v>
      </c>
      <c r="T55" s="92" t="s">
        <v>107</v>
      </c>
      <c r="U55" s="87" t="s">
        <v>643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48.354500000000002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47.856000000000002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47.357500000000002</v>
      </c>
      <c r="T58" s="92" t="s">
        <v>108</v>
      </c>
      <c r="U58" s="87" t="s">
        <v>606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46.859000000000002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46.360500000000002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45.862000000000002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45.363500000000002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44.865000000000002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160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30.670562499999999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7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29.01</v>
      </c>
      <c r="R4" s="498">
        <v>5.2200000000000003E-2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97">
        <v>42873</v>
      </c>
      <c r="C5" s="4">
        <v>80</v>
      </c>
      <c r="D5" s="3">
        <v>29.68</v>
      </c>
      <c r="E5" s="3">
        <v>0</v>
      </c>
      <c r="F5" s="3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4641.6000000000004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4907.29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-265.6899999999996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-265.6899999999996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-5.414189909298199E-2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31.911000000000005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31.620900000000002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31.330800000000004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31.040700000000005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30.750600000000002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30.460500000000003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30.170400000000004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29.880300000000002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29.590200000000003</v>
      </c>
      <c r="Q51" s="82"/>
      <c r="R51" s="34"/>
      <c r="T51" s="92" t="s">
        <v>104</v>
      </c>
      <c r="U51" s="87" t="s">
        <v>721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29.3001</v>
      </c>
      <c r="Q52" s="82"/>
      <c r="R52" s="34"/>
      <c r="T52" s="92" t="s">
        <v>105</v>
      </c>
      <c r="U52" s="87" t="s">
        <v>545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29.01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28.719900000000003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28.4298</v>
      </c>
      <c r="Q55" s="82"/>
      <c r="T55" s="92" t="s">
        <v>107</v>
      </c>
      <c r="U55" s="87" t="s">
        <v>722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28.139700000000001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27.849599999999999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27.5595</v>
      </c>
      <c r="Q58" s="82"/>
      <c r="T58" s="92" t="s">
        <v>108</v>
      </c>
      <c r="U58" s="87" t="s">
        <v>607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27.269400000000001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26.979300000000002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26.689200000000003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26.399100000000001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26.109000000000002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108.21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108.21</v>
      </c>
      <c r="R4" s="498">
        <v>2.5000000000000001E-3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697" t="s">
        <v>78</v>
      </c>
      <c r="P40" s="697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119.03100000000001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117.94889999999999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116.8668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115.7847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114.7026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113.62049999999999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112.5384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111.4563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110.3742</v>
      </c>
      <c r="Q49" s="2"/>
      <c r="T49" s="92" t="s">
        <v>103</v>
      </c>
      <c r="U49" s="87" t="s">
        <v>560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109.29209999999999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108.21</v>
      </c>
      <c r="Q51" s="2"/>
      <c r="T51" s="92" t="s">
        <v>104</v>
      </c>
      <c r="U51" s="87" t="s">
        <v>723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107.1279</v>
      </c>
      <c r="Q52" s="2"/>
      <c r="T52" s="92" t="s">
        <v>105</v>
      </c>
      <c r="U52" s="87" t="s">
        <v>724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106.04579999999999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104.96369999999999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103.88159999999999</v>
      </c>
      <c r="T55" s="92" t="s">
        <v>107</v>
      </c>
      <c r="U55" s="87" t="s">
        <v>725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102.79949999999999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101.71739999999998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100.6353</v>
      </c>
      <c r="T58" s="92" t="s">
        <v>108</v>
      </c>
      <c r="U58" s="87" t="s">
        <v>583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99.553200000000004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98.471099999999993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97.388999999999996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2.6636025000000001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756</v>
      </c>
      <c r="O4" s="11" t="s">
        <v>66</v>
      </c>
      <c r="Q4" s="199">
        <v>1.3</v>
      </c>
      <c r="R4" s="498">
        <v>-7.6E-3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5200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10654.41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-5019.4799999999996</v>
      </c>
      <c r="R7">
        <v>2000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-5454.41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-0.51193918762277779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497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6800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697" t="s">
        <v>78</v>
      </c>
      <c r="P40" s="697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1.4300000000000002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1.4170000000000003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1.4040000000000001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1.3910000000000002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1.3780000000000001</v>
      </c>
      <c r="Q45" s="2"/>
      <c r="T45" s="92" t="s">
        <v>99</v>
      </c>
      <c r="U45" s="87" t="s">
        <v>726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1.3650000000000002</v>
      </c>
      <c r="Q46" s="2"/>
      <c r="T46" s="92" t="s">
        <v>100</v>
      </c>
      <c r="U46" s="87" t="s">
        <v>727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1.3520000000000001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1.3390000000000002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1.3260000000000001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1.3130000000000002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1.3</v>
      </c>
      <c r="Q51" s="2"/>
      <c r="T51" s="92" t="s">
        <v>104</v>
      </c>
      <c r="U51" s="87" t="s">
        <v>728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1.2869999999999999</v>
      </c>
      <c r="Q52" s="2"/>
      <c r="T52" s="92" t="s">
        <v>105</v>
      </c>
      <c r="U52" s="87" t="s">
        <v>565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1.274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1.2609999999999999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1.248</v>
      </c>
      <c r="T55" s="92" t="s">
        <v>107</v>
      </c>
      <c r="U55" s="87" t="s">
        <v>729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1.2349999999999999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1.222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1.2090000000000001</v>
      </c>
      <c r="T58" s="92" t="s">
        <v>108</v>
      </c>
      <c r="U58" s="87" t="s">
        <v>608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1.1960000000000002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1.1830000000000001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1.1700000000000002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:G72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64.62</v>
      </c>
      <c r="R4" s="498">
        <v>-4.1999999999999997E-3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16155.000000000002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-3385.9900000000034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-3385.9900000000034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-0.17327627719987584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543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9" t="s">
        <v>534</v>
      </c>
      <c r="K39" s="680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697" t="s">
        <v>78</v>
      </c>
      <c r="P42" s="697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71.082000000000008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70.435800000000015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69.789600000000007</v>
      </c>
      <c r="Q45" s="2"/>
      <c r="T45" s="92" t="s">
        <v>99</v>
      </c>
      <c r="U45" s="87" t="s">
        <v>730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69.143400000000014</v>
      </c>
      <c r="Q46" s="2"/>
      <c r="T46" s="92" t="s">
        <v>100</v>
      </c>
      <c r="U46" s="87" t="s">
        <v>731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68.497200000000007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67.851000000000013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67.204800000000006</v>
      </c>
      <c r="Q49" s="2"/>
      <c r="T49" s="92" t="s">
        <v>103</v>
      </c>
      <c r="U49" s="87" t="s">
        <v>609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66.558600000000013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65.912400000000005</v>
      </c>
      <c r="Q51" s="2"/>
      <c r="T51" s="92" t="s">
        <v>104</v>
      </c>
      <c r="U51" s="87" t="s">
        <v>732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65.266200000000012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64.62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63.973800000000004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63.327600000000004</v>
      </c>
      <c r="Q55" s="2"/>
      <c r="T55" s="92" t="s">
        <v>107</v>
      </c>
      <c r="U55" s="87" t="s">
        <v>733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62.681400000000004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62.035200000000003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61.389000000000003</v>
      </c>
      <c r="T58" s="92" t="s">
        <v>108</v>
      </c>
      <c r="U58" s="87" t="s">
        <v>610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60.742800000000003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60.096600000000009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59.450400000000009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58.804200000000009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58.158000000000008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69.14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69.14</v>
      </c>
      <c r="R4" s="498">
        <v>1.4999999999999999E-2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697" t="s">
        <v>78</v>
      </c>
      <c r="P42" s="697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76.054000000000002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75.3626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74.671199999999999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73.979800000000012</v>
      </c>
      <c r="Q46" s="82"/>
      <c r="T46" s="92" t="s">
        <v>100</v>
      </c>
      <c r="U46" s="87" t="s">
        <v>734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73.28840000000001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72.597000000000008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71.905600000000007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71.214200000000005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70.522800000000004</v>
      </c>
      <c r="Q51" s="82"/>
      <c r="T51" s="92" t="s">
        <v>104</v>
      </c>
      <c r="U51" s="87" t="s">
        <v>735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69.831400000000002</v>
      </c>
      <c r="Q52" s="82"/>
      <c r="T52" s="92" t="s">
        <v>105</v>
      </c>
      <c r="U52" s="87" t="s">
        <v>736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69.14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68.448599999999999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67.757199999999997</v>
      </c>
      <c r="Q55" s="82"/>
      <c r="T55" s="92" t="s">
        <v>107</v>
      </c>
      <c r="U55" s="87" t="s">
        <v>737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67.065799999999996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66.374399999999994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65.682999999999993</v>
      </c>
      <c r="Q58" s="82"/>
      <c r="T58" s="92" t="s">
        <v>108</v>
      </c>
      <c r="U58" s="87" t="s">
        <v>574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64.991599999999991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64.300200000000004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63.608800000000002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62.917400000000001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62.225999999999999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162">
        <v>42622</v>
      </c>
      <c r="C2" s="4">
        <v>25</v>
      </c>
      <c r="D2" s="3">
        <v>66.959999999999994</v>
      </c>
      <c r="E2" s="3">
        <v>0</v>
      </c>
      <c r="F2" s="3">
        <f t="shared" ref="F2:F7" si="0"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57.55</v>
      </c>
      <c r="R4" s="498">
        <v>1.43E-2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11510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497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-219.34000000000106</v>
      </c>
      <c r="R7">
        <v>150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O8" s="11" t="s">
        <v>182</v>
      </c>
      <c r="P8" s="34"/>
      <c r="Q8" s="2">
        <f>K18+M18-F18+Q2*Q4</f>
        <v>-269.29000000000087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-2.2861309977086977E-2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9">C36*(E36-D36)</f>
        <v>-56.497500000000223</v>
      </c>
      <c r="G36" s="40">
        <f t="shared" ref="G36:G41" si="10">D36*C36</f>
        <v>4643.4975000000004</v>
      </c>
      <c r="H36" s="229">
        <f t="shared" ref="H36:H41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697" t="s">
        <v>78</v>
      </c>
      <c r="P41" s="697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63.305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62.729500000000002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62.154000000000003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61.578499999999998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61.003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60.427500000000002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59.851999999999997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59.276499999999999</v>
      </c>
      <c r="Q49" s="2"/>
      <c r="T49" s="92" t="s">
        <v>121</v>
      </c>
      <c r="U49" s="129" t="s">
        <v>571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58.701000000000001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58.125499999999995</v>
      </c>
      <c r="Q51" s="2"/>
      <c r="T51" s="92" t="s">
        <v>104</v>
      </c>
      <c r="U51" s="129" t="s">
        <v>738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57.55</v>
      </c>
      <c r="Q52" s="2"/>
      <c r="T52" s="92" t="s">
        <v>105</v>
      </c>
      <c r="U52" s="129" t="s">
        <v>739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56.974499999999999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56.398999999999994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55.823499999999996</v>
      </c>
      <c r="T55" s="92" t="s">
        <v>107</v>
      </c>
      <c r="U55" s="129" t="s">
        <v>740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55.247999999999998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54.672499999999992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54.096999999999994</v>
      </c>
      <c r="T58" s="92" t="s">
        <v>108</v>
      </c>
      <c r="U58" s="129" t="s">
        <v>611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53.521500000000003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52.945999999999998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52.3705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51.795000000000002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34.43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34.43</v>
      </c>
      <c r="R4" s="498">
        <v>1.47E-2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08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08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697" t="s">
        <v>78</v>
      </c>
      <c r="P41" s="697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37.873000000000005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37.528700000000001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37.184400000000004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36.8401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36.495800000000003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36.151499999999999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35.807200000000002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35.462899999999998</v>
      </c>
      <c r="Q49" s="2"/>
      <c r="T49" s="10" t="s">
        <v>103</v>
      </c>
      <c r="U49" s="10" t="s">
        <v>575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35.118600000000001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34.774299999999997</v>
      </c>
      <c r="Q51" s="2"/>
      <c r="T51" s="10" t="s">
        <v>104</v>
      </c>
      <c r="U51" s="10" t="s">
        <v>741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34.43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34.085700000000003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33.741399999999999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33.397100000000002</v>
      </c>
      <c r="T55" s="10" t="s">
        <v>107</v>
      </c>
      <c r="U55" s="10" t="s">
        <v>742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33.052799999999998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32.708500000000001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32.364199999999997</v>
      </c>
      <c r="T58" s="10" t="s">
        <v>108</v>
      </c>
      <c r="U58" s="10" t="s">
        <v>612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32.0199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31.675600000000003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31.331300000000002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30.987000000000002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174.82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174.82</v>
      </c>
      <c r="R4" s="498">
        <v>1.17E-2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697" t="s">
        <v>78</v>
      </c>
      <c r="P45" s="697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192.30200000000002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190.5538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188.8056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187.0574</v>
      </c>
      <c r="Q49" s="2"/>
      <c r="T49" s="92" t="s">
        <v>103</v>
      </c>
      <c r="U49" s="431" t="s">
        <v>613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185.3092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183.56100000000001</v>
      </c>
      <c r="Q51" s="2"/>
      <c r="T51" s="92" t="s">
        <v>104</v>
      </c>
      <c r="U51" s="431" t="s">
        <v>743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181.81280000000001</v>
      </c>
      <c r="Q52" s="2"/>
      <c r="T52" s="92" t="s">
        <v>105</v>
      </c>
      <c r="U52" s="431" t="s">
        <v>576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180.06459999999998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178.31639999999999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176.56819999999999</v>
      </c>
      <c r="Q55" s="2"/>
      <c r="T55" s="92" t="s">
        <v>107</v>
      </c>
      <c r="U55" s="431" t="s">
        <v>744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174.82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173.0718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171.3236</v>
      </c>
      <c r="Q58" s="2"/>
      <c r="T58" s="92" t="s">
        <v>108</v>
      </c>
      <c r="U58" s="431" t="s">
        <v>566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169.5754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167.82719999999998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166.07899999999998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164.33079999999998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162.58260000000001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160.83439999999999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159.08619999999999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157.33799999999999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47.15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47.15</v>
      </c>
      <c r="R4" s="498">
        <v>2.1700000000000001E-2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51.865000000000002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51.393500000000003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50.922000000000004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50.450499999999998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49.978999999999999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49.5075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49.036000000000001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48.564500000000002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48.092999999999996</v>
      </c>
      <c r="Q51" s="2"/>
      <c r="T51" s="92" t="s">
        <v>104</v>
      </c>
      <c r="U51" s="431" t="s">
        <v>745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47.621499999999997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47.15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46.6785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46.207000000000001</v>
      </c>
      <c r="Q55" s="2"/>
      <c r="T55" s="92" t="s">
        <v>107</v>
      </c>
      <c r="U55" s="431" t="s">
        <v>746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45.735499999999995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45.263999999999996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44.792499999999997</v>
      </c>
      <c r="Q58" s="2"/>
      <c r="T58" s="92" t="s">
        <v>108</v>
      </c>
      <c r="U58" s="431" t="s">
        <v>614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44.320999999999998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43.849499999999999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43.378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42.906500000000001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42.435000000000002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121.79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121.79</v>
      </c>
      <c r="R4" s="498">
        <v>4.1999999999999997E-3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697" t="s">
        <v>78</v>
      </c>
      <c r="Q39" s="697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133.96900000000002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132.75110000000001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131.53320000000002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130.31530000000001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129.09740000000002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127.87950000000001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126.66160000000001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125.44370000000001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124.22580000000001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123.00790000000001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121.79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120.57210000000001</v>
      </c>
      <c r="T51" s="92" t="s">
        <v>104</v>
      </c>
      <c r="U51" s="87" t="s">
        <v>747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119.35420000000001</v>
      </c>
      <c r="T52" s="92" t="s">
        <v>105</v>
      </c>
      <c r="U52" s="87" t="s">
        <v>546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118.13630000000001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116.91840000000001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115.70050000000001</v>
      </c>
      <c r="T55" s="92" t="s">
        <v>107</v>
      </c>
      <c r="U55" s="87" t="s">
        <v>748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114.48260000000001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113.2647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112.0468</v>
      </c>
      <c r="T58" s="92" t="s">
        <v>108</v>
      </c>
      <c r="U58" s="87" t="s">
        <v>615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110.8289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109.611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179.58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179.58</v>
      </c>
      <c r="R4" s="498">
        <v>2.5100000000000001E-2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584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697" t="s">
        <v>78</v>
      </c>
      <c r="P41" s="697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197.53800000000004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195.74220000000003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193.94640000000004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192.15060000000003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190.35480000000001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188.55900000000003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186.76320000000001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184.96740000000003</v>
      </c>
      <c r="Q49" s="82"/>
      <c r="T49" s="92" t="s">
        <v>103</v>
      </c>
      <c r="U49" s="87" t="s">
        <v>561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183.17160000000001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181.37580000000003</v>
      </c>
      <c r="Q51" s="82"/>
      <c r="T51" s="92" t="s">
        <v>104</v>
      </c>
      <c r="U51" s="87" t="s">
        <v>749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179.58</v>
      </c>
      <c r="Q52" s="82"/>
      <c r="T52" s="92" t="s">
        <v>105</v>
      </c>
      <c r="U52" s="87" t="s">
        <v>556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177.7842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175.98840000000001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174.1926</v>
      </c>
      <c r="Q55" s="82"/>
      <c r="T55" s="92" t="s">
        <v>107</v>
      </c>
      <c r="U55" s="87" t="s">
        <v>750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172.39680000000001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170.601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168.80520000000001</v>
      </c>
      <c r="Q58" s="82"/>
      <c r="T58" s="92" t="s">
        <v>108</v>
      </c>
      <c r="U58" s="87" t="s">
        <v>616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167.00940000000003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165.21360000000001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163.41780000000003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161.62200000000001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107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2017-06-02T02:04:01Z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